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C:\Users\joao\Documents\Contratos MPCE\AUTOMAÇÃO\PORTAL_DISP_INEX\"/>
    </mc:Choice>
  </mc:AlternateContent>
  <xr:revisionPtr revIDLastSave="0" documentId="13_ncr:1_{E897B3F5-22FB-4AC2-846E-6276DD55D729}" xr6:coauthVersionLast="47" xr6:coauthVersionMax="47" xr10:uidLastSave="{00000000-0000-0000-0000-000000000000}"/>
  <bookViews>
    <workbookView xWindow="-24120" yWindow="-120" windowWidth="24240" windowHeight="13140" xr2:uid="{EF531BC0-2F8C-4D1A-99EB-02327E6C95EE}"/>
  </bookViews>
  <sheets>
    <sheet name="Planilha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xxlnp="http://schemas.microsoft.com/office/spreadsheetml/2019/extlinksprops" uri="{FCE6A71B-6B00-49CD-AB44-F6B1AE7CDE65}">
      <xxlnp:externalLinksPr autoRefresh="1"/>
    </ext>
  </extLst>
</workbook>
</file>

<file path=xl/calcChain.xml><?xml version="1.0" encoding="utf-8"?>
<calcChain xmlns="http://schemas.openxmlformats.org/spreadsheetml/2006/main">
  <c r="C3" i="1" l="1"/>
  <c r="G3" i="1"/>
  <c r="C4" i="1"/>
  <c r="E4" i="1"/>
  <c r="G4" i="1"/>
  <c r="C5" i="1"/>
  <c r="G5" i="1"/>
  <c r="C6" i="1"/>
  <c r="G6" i="1"/>
  <c r="C7" i="1"/>
  <c r="E7" i="1"/>
  <c r="G7" i="1"/>
  <c r="C8" i="1"/>
  <c r="G8" i="1"/>
  <c r="C9" i="1"/>
  <c r="G9" i="1"/>
  <c r="C10" i="1"/>
  <c r="G10" i="1"/>
  <c r="C11" i="1"/>
  <c r="E11" i="1"/>
  <c r="G11" i="1"/>
  <c r="C12" i="1"/>
  <c r="E12" i="1"/>
  <c r="G12" i="1"/>
  <c r="C13" i="1"/>
  <c r="E13" i="1"/>
  <c r="G13" i="1"/>
  <c r="C14" i="1"/>
  <c r="G14" i="1"/>
  <c r="C15" i="1"/>
  <c r="E15" i="1"/>
  <c r="G15" i="1"/>
  <c r="C16" i="1"/>
  <c r="E16" i="1"/>
  <c r="G16" i="1"/>
  <c r="C17" i="1"/>
  <c r="E17" i="1"/>
  <c r="G17" i="1"/>
  <c r="C18" i="1"/>
  <c r="E18" i="1"/>
  <c r="G18" i="1"/>
  <c r="C19" i="1"/>
  <c r="E19" i="1"/>
  <c r="G19" i="1"/>
  <c r="C20" i="1"/>
  <c r="E20" i="1"/>
  <c r="G20" i="1"/>
  <c r="C21" i="1"/>
  <c r="E21" i="1"/>
  <c r="G21" i="1"/>
  <c r="C22" i="1"/>
  <c r="G22" i="1"/>
  <c r="C23" i="1"/>
  <c r="E23" i="1"/>
  <c r="G23" i="1"/>
  <c r="C24" i="1"/>
  <c r="E24" i="1"/>
  <c r="G24" i="1"/>
  <c r="C25" i="1"/>
  <c r="G25" i="1"/>
  <c r="C26" i="1"/>
  <c r="E26" i="1"/>
  <c r="G26" i="1"/>
  <c r="C27" i="1"/>
  <c r="E27" i="1"/>
  <c r="G27" i="1"/>
  <c r="C28" i="1"/>
  <c r="E28" i="1"/>
  <c r="G28" i="1"/>
  <c r="C29" i="1"/>
  <c r="E29" i="1"/>
  <c r="G29" i="1"/>
  <c r="C30" i="1"/>
  <c r="E30" i="1"/>
  <c r="G30" i="1"/>
  <c r="C31" i="1"/>
  <c r="E31" i="1"/>
  <c r="G31" i="1"/>
  <c r="C32" i="1"/>
  <c r="E32" i="1"/>
  <c r="G32" i="1"/>
  <c r="C33" i="1"/>
  <c r="E33" i="1"/>
  <c r="G33" i="1"/>
  <c r="C34" i="1"/>
  <c r="E34" i="1"/>
  <c r="G34" i="1"/>
  <c r="C35" i="1"/>
  <c r="E35" i="1"/>
  <c r="G35" i="1"/>
  <c r="C36" i="1"/>
  <c r="G36" i="1"/>
  <c r="C37" i="1"/>
  <c r="E37" i="1"/>
  <c r="G37" i="1"/>
  <c r="C38" i="1"/>
  <c r="E38" i="1"/>
  <c r="G38" i="1"/>
  <c r="C39" i="1"/>
  <c r="E39" i="1"/>
  <c r="G39" i="1"/>
  <c r="C40" i="1"/>
  <c r="E40" i="1"/>
  <c r="G40" i="1"/>
  <c r="C41" i="1"/>
  <c r="E41" i="1"/>
  <c r="G41" i="1"/>
  <c r="C42" i="1"/>
  <c r="G42" i="1"/>
  <c r="C43" i="1"/>
  <c r="G43" i="1"/>
  <c r="C44" i="1"/>
  <c r="G44" i="1"/>
  <c r="C45" i="1"/>
  <c r="G45" i="1"/>
  <c r="C46" i="1"/>
  <c r="G46" i="1"/>
  <c r="C47" i="1"/>
  <c r="G47" i="1"/>
  <c r="C48" i="1"/>
  <c r="E48" i="1"/>
  <c r="G48" i="1"/>
  <c r="C49" i="1"/>
  <c r="E49" i="1"/>
  <c r="G49" i="1"/>
  <c r="C50" i="1"/>
  <c r="E50" i="1"/>
  <c r="G50" i="1"/>
  <c r="C51" i="1"/>
  <c r="E51" i="1"/>
  <c r="G51" i="1"/>
  <c r="C52" i="1"/>
  <c r="E52" i="1"/>
  <c r="G52" i="1"/>
  <c r="C53" i="1"/>
  <c r="E53" i="1"/>
  <c r="G53" i="1"/>
  <c r="C54" i="1"/>
  <c r="E54" i="1"/>
  <c r="G54" i="1"/>
  <c r="C55" i="1"/>
  <c r="E55" i="1"/>
  <c r="G55" i="1"/>
  <c r="C56" i="1"/>
  <c r="E56" i="1"/>
  <c r="G56" i="1"/>
  <c r="C57" i="1"/>
  <c r="E57" i="1"/>
  <c r="G57" i="1"/>
  <c r="C58" i="1"/>
  <c r="E58" i="1"/>
  <c r="G58" i="1"/>
  <c r="C59" i="1"/>
  <c r="E59" i="1"/>
  <c r="G59" i="1"/>
  <c r="C60" i="1"/>
  <c r="E60" i="1"/>
  <c r="G60" i="1"/>
  <c r="C61" i="1"/>
  <c r="E61" i="1"/>
  <c r="G61" i="1"/>
  <c r="C62" i="1"/>
  <c r="E62" i="1"/>
  <c r="G62" i="1"/>
  <c r="C63" i="1"/>
  <c r="E63" i="1"/>
  <c r="G63" i="1"/>
  <c r="C64" i="1"/>
  <c r="E64" i="1"/>
  <c r="G64" i="1"/>
  <c r="C65" i="1"/>
  <c r="E65" i="1"/>
  <c r="G65" i="1"/>
  <c r="C66" i="1"/>
  <c r="E66" i="1"/>
  <c r="G66" i="1"/>
  <c r="C67" i="1"/>
  <c r="E67" i="1"/>
  <c r="G67" i="1"/>
  <c r="C68" i="1"/>
  <c r="E68" i="1"/>
  <c r="G68" i="1"/>
  <c r="C69" i="1"/>
  <c r="E69" i="1"/>
  <c r="G69" i="1"/>
  <c r="C70" i="1"/>
  <c r="E70" i="1"/>
  <c r="G70" i="1"/>
  <c r="C71" i="1"/>
  <c r="E71" i="1"/>
  <c r="G71" i="1"/>
  <c r="C72" i="1"/>
  <c r="E72" i="1"/>
  <c r="G72" i="1"/>
  <c r="C73" i="1"/>
  <c r="E73" i="1"/>
  <c r="G73" i="1"/>
  <c r="C74" i="1"/>
  <c r="E74" i="1"/>
  <c r="G74" i="1"/>
  <c r="C75" i="1"/>
  <c r="E75" i="1"/>
  <c r="G75" i="1"/>
  <c r="C76" i="1"/>
  <c r="E76" i="1"/>
  <c r="G76" i="1"/>
  <c r="C77" i="1"/>
  <c r="E77" i="1"/>
  <c r="G77" i="1"/>
  <c r="C78" i="1"/>
  <c r="E78" i="1"/>
  <c r="G78" i="1"/>
  <c r="C79" i="1"/>
  <c r="E79" i="1"/>
  <c r="G79" i="1"/>
  <c r="C80" i="1"/>
  <c r="E80" i="1"/>
  <c r="G80" i="1"/>
  <c r="C81" i="1"/>
  <c r="E81" i="1"/>
  <c r="G81" i="1"/>
  <c r="C82" i="1"/>
  <c r="E82" i="1"/>
  <c r="G82" i="1"/>
  <c r="C83" i="1"/>
  <c r="E83" i="1"/>
  <c r="G83" i="1"/>
  <c r="C84" i="1"/>
  <c r="E84" i="1"/>
  <c r="G84" i="1"/>
  <c r="C85" i="1"/>
  <c r="E85" i="1"/>
  <c r="G85" i="1"/>
  <c r="C86" i="1"/>
  <c r="E86" i="1"/>
  <c r="G86" i="1"/>
  <c r="C87" i="1"/>
  <c r="E87" i="1"/>
  <c r="G87" i="1"/>
  <c r="C88" i="1"/>
  <c r="E88" i="1"/>
  <c r="G88" i="1"/>
  <c r="C89" i="1"/>
  <c r="E89" i="1"/>
  <c r="G89" i="1"/>
  <c r="C90" i="1"/>
  <c r="E90" i="1"/>
  <c r="G90" i="1"/>
  <c r="C91" i="1"/>
  <c r="E91" i="1"/>
  <c r="G91" i="1"/>
  <c r="C92" i="1"/>
  <c r="E92" i="1"/>
  <c r="G92" i="1"/>
  <c r="C93" i="1"/>
  <c r="E93" i="1"/>
  <c r="G93" i="1"/>
  <c r="C94" i="1"/>
  <c r="E94" i="1"/>
  <c r="G94" i="1"/>
  <c r="C95" i="1"/>
  <c r="E95" i="1"/>
  <c r="G95" i="1"/>
  <c r="C96" i="1"/>
  <c r="E96" i="1"/>
  <c r="G96" i="1"/>
  <c r="C97" i="1"/>
  <c r="E97" i="1"/>
  <c r="G97" i="1"/>
  <c r="C98" i="1"/>
  <c r="E98" i="1"/>
  <c r="G98" i="1"/>
  <c r="C99" i="1"/>
  <c r="E99" i="1"/>
  <c r="G99" i="1"/>
  <c r="C100" i="1"/>
  <c r="E100" i="1"/>
  <c r="G100" i="1"/>
  <c r="C101" i="1"/>
  <c r="E101" i="1"/>
  <c r="G101" i="1"/>
  <c r="C102" i="1"/>
  <c r="E102" i="1"/>
  <c r="G102" i="1"/>
  <c r="C103" i="1"/>
  <c r="E103" i="1"/>
  <c r="G103" i="1"/>
  <c r="C104" i="1"/>
  <c r="E104" i="1"/>
  <c r="G104" i="1"/>
  <c r="C105" i="1"/>
  <c r="E105" i="1"/>
  <c r="G105" i="1"/>
  <c r="C106" i="1"/>
  <c r="E106" i="1"/>
  <c r="G106" i="1"/>
  <c r="C107" i="1"/>
  <c r="E107" i="1"/>
  <c r="G107" i="1"/>
  <c r="C108" i="1"/>
  <c r="E108" i="1"/>
  <c r="G108" i="1"/>
  <c r="C109" i="1"/>
  <c r="E109" i="1"/>
  <c r="G109" i="1"/>
  <c r="C110" i="1"/>
  <c r="E110" i="1"/>
  <c r="G110" i="1"/>
  <c r="C111" i="1"/>
  <c r="E111" i="1"/>
  <c r="G111" i="1"/>
  <c r="C112" i="1"/>
  <c r="E112" i="1"/>
  <c r="G112" i="1"/>
  <c r="C113" i="1"/>
  <c r="E113" i="1"/>
  <c r="G113" i="1"/>
  <c r="C114" i="1"/>
  <c r="E114" i="1"/>
  <c r="G114" i="1"/>
  <c r="C115" i="1"/>
  <c r="E115" i="1"/>
  <c r="G115" i="1"/>
  <c r="C116" i="1"/>
  <c r="E116" i="1"/>
  <c r="G116" i="1"/>
  <c r="C117" i="1"/>
  <c r="E117" i="1"/>
  <c r="G117" i="1"/>
  <c r="C118" i="1"/>
  <c r="E118" i="1"/>
  <c r="G118" i="1"/>
  <c r="C119" i="1"/>
  <c r="E119" i="1"/>
  <c r="G119" i="1"/>
  <c r="C120" i="1"/>
  <c r="E120" i="1"/>
  <c r="G120" i="1"/>
  <c r="C121" i="1"/>
  <c r="E121" i="1"/>
  <c r="G121" i="1"/>
  <c r="C122" i="1"/>
  <c r="E122" i="1"/>
  <c r="G122" i="1"/>
  <c r="C123" i="1"/>
  <c r="G123" i="1"/>
  <c r="C124" i="1"/>
  <c r="E124" i="1"/>
  <c r="G124" i="1"/>
  <c r="C125" i="1"/>
  <c r="E125" i="1"/>
  <c r="G125" i="1"/>
  <c r="C126" i="1"/>
  <c r="G126" i="1"/>
  <c r="C127" i="1"/>
  <c r="G127" i="1"/>
  <c r="C128" i="1"/>
  <c r="G128" i="1"/>
  <c r="C129" i="1"/>
  <c r="G129" i="1"/>
  <c r="C130" i="1"/>
  <c r="G130" i="1"/>
  <c r="C131" i="1"/>
  <c r="E131" i="1"/>
  <c r="G131" i="1"/>
  <c r="C132" i="1"/>
  <c r="E132" i="1"/>
  <c r="G132" i="1"/>
  <c r="C133" i="1"/>
  <c r="E133" i="1"/>
  <c r="G133" i="1"/>
  <c r="C134" i="1"/>
  <c r="E134" i="1"/>
  <c r="G134" i="1"/>
  <c r="C135" i="1"/>
  <c r="E135" i="1"/>
  <c r="G135" i="1"/>
  <c r="C136" i="1"/>
  <c r="E136" i="1"/>
  <c r="G136" i="1"/>
  <c r="C137" i="1"/>
  <c r="G137" i="1"/>
  <c r="C138" i="1"/>
  <c r="E138" i="1"/>
  <c r="G138" i="1"/>
  <c r="C139" i="1"/>
  <c r="E139" i="1"/>
  <c r="G139" i="1"/>
  <c r="C140" i="1"/>
  <c r="E140" i="1"/>
  <c r="G140" i="1"/>
  <c r="C141" i="1"/>
  <c r="E141" i="1"/>
  <c r="G141" i="1"/>
  <c r="C142" i="1"/>
  <c r="E142" i="1"/>
  <c r="G142" i="1"/>
  <c r="C143" i="1"/>
  <c r="E143" i="1"/>
  <c r="G143" i="1"/>
  <c r="C144" i="1"/>
  <c r="E144" i="1"/>
  <c r="G144" i="1"/>
  <c r="C145" i="1"/>
  <c r="E145" i="1"/>
  <c r="G145" i="1"/>
  <c r="C146" i="1"/>
  <c r="E146" i="1"/>
  <c r="G146" i="1"/>
  <c r="C147" i="1"/>
  <c r="E147" i="1"/>
  <c r="G147" i="1"/>
  <c r="C148" i="1"/>
  <c r="E148" i="1"/>
  <c r="G148" i="1"/>
  <c r="C149" i="1"/>
  <c r="E149" i="1"/>
  <c r="G149" i="1"/>
  <c r="C150" i="1"/>
  <c r="E150" i="1"/>
  <c r="G150" i="1"/>
  <c r="C151" i="1"/>
  <c r="E151" i="1"/>
  <c r="G151" i="1"/>
  <c r="C152" i="1"/>
  <c r="E152" i="1"/>
  <c r="G152" i="1"/>
  <c r="C153" i="1"/>
  <c r="E153" i="1"/>
  <c r="G153" i="1"/>
  <c r="C154" i="1"/>
  <c r="E154" i="1"/>
  <c r="G154" i="1"/>
  <c r="C155" i="1"/>
  <c r="E155" i="1"/>
  <c r="G155" i="1"/>
  <c r="C156" i="1"/>
  <c r="E156" i="1"/>
  <c r="G156" i="1"/>
  <c r="C157" i="1"/>
  <c r="E157" i="1"/>
  <c r="G157" i="1"/>
  <c r="C158" i="1"/>
  <c r="E158" i="1"/>
  <c r="G158" i="1"/>
  <c r="C159" i="1"/>
  <c r="E159" i="1"/>
  <c r="G159" i="1"/>
  <c r="C160" i="1"/>
  <c r="E160" i="1"/>
  <c r="G160" i="1"/>
  <c r="C161" i="1"/>
  <c r="E161" i="1"/>
  <c r="G161" i="1"/>
  <c r="C162" i="1"/>
  <c r="E162" i="1"/>
  <c r="G162" i="1"/>
  <c r="C163" i="1"/>
  <c r="E163" i="1"/>
  <c r="G163" i="1"/>
  <c r="C164" i="1"/>
  <c r="E164" i="1"/>
  <c r="G164" i="1"/>
  <c r="C165" i="1"/>
  <c r="E165" i="1"/>
  <c r="G165" i="1"/>
  <c r="C166" i="1"/>
  <c r="E166" i="1"/>
  <c r="G166" i="1"/>
  <c r="C167" i="1"/>
  <c r="E167" i="1"/>
  <c r="G167" i="1"/>
  <c r="C168" i="1"/>
  <c r="E168" i="1"/>
  <c r="G168" i="1"/>
  <c r="C169" i="1"/>
  <c r="E169" i="1"/>
  <c r="G169" i="1"/>
  <c r="C170" i="1"/>
  <c r="E170" i="1"/>
  <c r="G170" i="1"/>
  <c r="C171" i="1"/>
  <c r="E171" i="1"/>
  <c r="G171" i="1"/>
  <c r="C172" i="1"/>
  <c r="E172" i="1"/>
  <c r="G172" i="1"/>
  <c r="C173" i="1"/>
  <c r="E173" i="1"/>
  <c r="G173" i="1"/>
  <c r="C174" i="1"/>
  <c r="E174" i="1"/>
  <c r="G174" i="1"/>
  <c r="C175" i="1"/>
  <c r="E175" i="1"/>
  <c r="G175" i="1"/>
  <c r="C176" i="1"/>
  <c r="E176" i="1"/>
  <c r="G176" i="1"/>
  <c r="C177" i="1"/>
  <c r="E177" i="1"/>
  <c r="G177" i="1"/>
  <c r="C178" i="1"/>
  <c r="E178" i="1"/>
  <c r="G178" i="1"/>
  <c r="C179" i="1"/>
  <c r="E179" i="1"/>
  <c r="G179" i="1"/>
  <c r="C180" i="1"/>
  <c r="E180" i="1"/>
  <c r="G180" i="1"/>
  <c r="C181" i="1"/>
  <c r="G181" i="1"/>
  <c r="C182" i="1"/>
  <c r="E182" i="1"/>
  <c r="G182" i="1"/>
  <c r="C183" i="1"/>
  <c r="E183" i="1"/>
  <c r="G183" i="1"/>
  <c r="C184" i="1"/>
  <c r="E184" i="1"/>
  <c r="G184" i="1"/>
  <c r="C185" i="1"/>
  <c r="E185" i="1"/>
  <c r="G185" i="1"/>
  <c r="C186" i="1"/>
  <c r="E186" i="1"/>
  <c r="G186" i="1"/>
  <c r="C187" i="1"/>
  <c r="E187" i="1"/>
  <c r="G187" i="1"/>
  <c r="C188" i="1"/>
  <c r="E188" i="1"/>
  <c r="G188" i="1"/>
  <c r="C189" i="1"/>
  <c r="E189" i="1"/>
  <c r="G189" i="1"/>
  <c r="C190" i="1"/>
  <c r="E190" i="1"/>
  <c r="G190" i="1"/>
  <c r="C191" i="1"/>
  <c r="E191" i="1"/>
  <c r="G191" i="1"/>
  <c r="C192" i="1"/>
  <c r="E192" i="1"/>
  <c r="G192" i="1"/>
  <c r="C193" i="1"/>
  <c r="E193" i="1"/>
  <c r="G193" i="1"/>
  <c r="C194" i="1"/>
  <c r="G194" i="1"/>
  <c r="C195" i="1"/>
  <c r="E195" i="1"/>
  <c r="G195" i="1"/>
  <c r="C196" i="1"/>
  <c r="G196" i="1"/>
  <c r="C197" i="1"/>
  <c r="E197" i="1"/>
  <c r="G197" i="1"/>
  <c r="C198" i="1"/>
  <c r="E198" i="1"/>
  <c r="G198" i="1"/>
  <c r="C199" i="1"/>
  <c r="G199" i="1"/>
  <c r="C200" i="1"/>
  <c r="G200" i="1"/>
  <c r="C201" i="1"/>
  <c r="G201" i="1"/>
  <c r="C202" i="1"/>
  <c r="E202" i="1"/>
  <c r="G202" i="1"/>
  <c r="C203" i="1"/>
  <c r="G203" i="1"/>
  <c r="C204" i="1"/>
  <c r="E204" i="1"/>
  <c r="G204" i="1"/>
  <c r="C205" i="1"/>
  <c r="E205" i="1"/>
  <c r="G205" i="1"/>
  <c r="C206" i="1"/>
  <c r="E206" i="1"/>
  <c r="G206" i="1"/>
  <c r="C207" i="1"/>
  <c r="E207" i="1"/>
  <c r="G207" i="1"/>
  <c r="C208" i="1"/>
  <c r="E208" i="1"/>
  <c r="G208" i="1"/>
  <c r="C209" i="1"/>
  <c r="E209" i="1"/>
  <c r="G209" i="1"/>
  <c r="C210" i="1"/>
  <c r="E210" i="1"/>
  <c r="G210" i="1"/>
  <c r="C211" i="1"/>
  <c r="E211" i="1"/>
  <c r="G211" i="1"/>
  <c r="C212" i="1"/>
  <c r="E212" i="1"/>
  <c r="G212" i="1"/>
  <c r="C213" i="1"/>
  <c r="E213" i="1"/>
  <c r="G213" i="1"/>
  <c r="C214" i="1"/>
  <c r="E214" i="1"/>
  <c r="G214" i="1"/>
  <c r="C215" i="1"/>
  <c r="E215" i="1"/>
  <c r="G215" i="1"/>
  <c r="C216" i="1"/>
  <c r="E216" i="1"/>
  <c r="G216" i="1"/>
  <c r="C217" i="1"/>
  <c r="E217" i="1"/>
  <c r="G217" i="1"/>
  <c r="C218" i="1"/>
  <c r="E218" i="1"/>
  <c r="G218" i="1"/>
  <c r="C219" i="1"/>
  <c r="E219" i="1"/>
  <c r="G219" i="1"/>
  <c r="C220" i="1"/>
  <c r="G220" i="1"/>
  <c r="C221" i="1"/>
  <c r="G221" i="1"/>
  <c r="C222" i="1"/>
  <c r="E222" i="1"/>
  <c r="G222" i="1"/>
  <c r="C223" i="1"/>
  <c r="G223" i="1"/>
  <c r="C224" i="1"/>
  <c r="E224" i="1"/>
  <c r="G224" i="1"/>
  <c r="C225" i="1"/>
  <c r="E225" i="1"/>
  <c r="G225" i="1"/>
  <c r="C226" i="1"/>
  <c r="E226" i="1"/>
  <c r="G226" i="1"/>
  <c r="C227" i="1"/>
  <c r="E227" i="1"/>
  <c r="G227" i="1"/>
  <c r="C228" i="1"/>
  <c r="E228" i="1"/>
  <c r="G228" i="1"/>
  <c r="C229" i="1"/>
  <c r="E229" i="1"/>
  <c r="G229" i="1"/>
  <c r="C230" i="1"/>
  <c r="E230" i="1"/>
  <c r="G230" i="1"/>
  <c r="C231" i="1"/>
  <c r="E231" i="1"/>
  <c r="G231" i="1"/>
  <c r="C232" i="1"/>
  <c r="E232" i="1"/>
  <c r="G232" i="1"/>
  <c r="C233" i="1"/>
  <c r="E233" i="1"/>
  <c r="G233" i="1"/>
  <c r="C234" i="1"/>
  <c r="E234" i="1"/>
  <c r="G234" i="1"/>
  <c r="C235" i="1"/>
  <c r="E235" i="1"/>
  <c r="G235" i="1"/>
  <c r="C236" i="1"/>
  <c r="E236" i="1"/>
  <c r="G236" i="1"/>
  <c r="C237" i="1"/>
  <c r="E237" i="1"/>
  <c r="G237" i="1"/>
  <c r="C238" i="1"/>
  <c r="E238" i="1"/>
  <c r="G238" i="1"/>
  <c r="C239" i="1"/>
  <c r="E239" i="1"/>
  <c r="G239" i="1"/>
  <c r="C240" i="1"/>
  <c r="E240" i="1"/>
  <c r="G240" i="1"/>
  <c r="C241" i="1"/>
  <c r="E241" i="1"/>
  <c r="G241" i="1"/>
  <c r="C242" i="1"/>
  <c r="E242" i="1"/>
  <c r="G242" i="1"/>
  <c r="C243" i="1"/>
  <c r="E243" i="1"/>
  <c r="G243" i="1"/>
  <c r="C244" i="1"/>
  <c r="E244" i="1"/>
  <c r="G244" i="1"/>
  <c r="C245" i="1"/>
  <c r="E245" i="1"/>
  <c r="G245" i="1"/>
  <c r="C246" i="1"/>
  <c r="E246" i="1"/>
  <c r="G246" i="1"/>
  <c r="C247" i="1"/>
  <c r="E247" i="1"/>
  <c r="G247" i="1"/>
  <c r="C248" i="1"/>
  <c r="E248" i="1"/>
  <c r="G248" i="1"/>
  <c r="C249" i="1"/>
  <c r="E249" i="1"/>
  <c r="G249" i="1"/>
  <c r="C250" i="1"/>
  <c r="E250" i="1"/>
  <c r="G250" i="1"/>
  <c r="C251" i="1"/>
  <c r="E251" i="1"/>
  <c r="G251" i="1"/>
  <c r="C252" i="1"/>
  <c r="E252" i="1"/>
  <c r="G252" i="1"/>
  <c r="C253" i="1"/>
  <c r="E253" i="1"/>
  <c r="G253" i="1"/>
  <c r="C254" i="1"/>
  <c r="E254" i="1"/>
  <c r="G254" i="1"/>
  <c r="C255" i="1"/>
  <c r="E255" i="1"/>
  <c r="G255" i="1"/>
  <c r="C256" i="1"/>
  <c r="E256" i="1"/>
  <c r="G256" i="1"/>
  <c r="C257" i="1"/>
  <c r="E257" i="1"/>
  <c r="G257" i="1"/>
  <c r="C258" i="1"/>
  <c r="E258" i="1"/>
  <c r="G258" i="1"/>
  <c r="C259" i="1"/>
  <c r="E259" i="1"/>
  <c r="G259" i="1"/>
  <c r="C260" i="1"/>
  <c r="E260" i="1"/>
  <c r="G260" i="1"/>
  <c r="C261" i="1"/>
  <c r="E261" i="1"/>
  <c r="G261" i="1"/>
  <c r="C262" i="1"/>
  <c r="E262" i="1"/>
  <c r="G262" i="1"/>
  <c r="C263" i="1"/>
  <c r="E263" i="1"/>
  <c r="G263" i="1"/>
  <c r="C264" i="1"/>
  <c r="E264" i="1"/>
  <c r="G264" i="1"/>
  <c r="C265" i="1"/>
  <c r="E265" i="1"/>
  <c r="G265" i="1"/>
  <c r="C266" i="1"/>
  <c r="E266" i="1"/>
  <c r="G266" i="1"/>
  <c r="C267" i="1"/>
  <c r="E267" i="1"/>
  <c r="G267" i="1"/>
  <c r="C268" i="1"/>
  <c r="G268" i="1"/>
  <c r="C269" i="1"/>
  <c r="E269" i="1"/>
  <c r="G269" i="1"/>
  <c r="C270" i="1"/>
  <c r="E270" i="1"/>
  <c r="G270" i="1"/>
  <c r="C271" i="1"/>
  <c r="E271" i="1"/>
  <c r="G271" i="1"/>
  <c r="C272" i="1"/>
  <c r="E272" i="1"/>
  <c r="G272" i="1"/>
  <c r="C273" i="1"/>
  <c r="E273" i="1"/>
  <c r="G273" i="1"/>
  <c r="C274" i="1"/>
  <c r="G274" i="1"/>
  <c r="C275" i="1"/>
  <c r="E275" i="1"/>
  <c r="G275" i="1"/>
  <c r="C276" i="1"/>
  <c r="E276" i="1"/>
  <c r="G276" i="1"/>
  <c r="C277" i="1"/>
  <c r="G277" i="1"/>
  <c r="C278" i="1"/>
  <c r="E278" i="1"/>
  <c r="G278" i="1"/>
  <c r="C279" i="1"/>
  <c r="E279" i="1"/>
  <c r="G279" i="1"/>
  <c r="C280" i="1"/>
  <c r="G280" i="1"/>
  <c r="C281" i="1"/>
  <c r="E281" i="1"/>
  <c r="G281" i="1"/>
  <c r="C282" i="1"/>
  <c r="E282" i="1"/>
  <c r="G282" i="1"/>
  <c r="C283" i="1"/>
  <c r="E283" i="1"/>
  <c r="G283" i="1"/>
  <c r="C284" i="1"/>
  <c r="E284" i="1"/>
  <c r="G284" i="1"/>
  <c r="C285" i="1"/>
  <c r="E285" i="1"/>
  <c r="G285" i="1"/>
  <c r="C286" i="1"/>
  <c r="E286" i="1"/>
  <c r="G286" i="1"/>
  <c r="C287" i="1"/>
  <c r="E287" i="1"/>
  <c r="G287" i="1"/>
  <c r="C288" i="1"/>
  <c r="E288" i="1"/>
  <c r="G288" i="1"/>
  <c r="C289" i="1"/>
  <c r="G289" i="1"/>
  <c r="C290" i="1"/>
  <c r="G290" i="1"/>
  <c r="C291" i="1"/>
  <c r="E291" i="1"/>
  <c r="G291" i="1"/>
  <c r="C292" i="1"/>
  <c r="E292" i="1"/>
  <c r="G292" i="1"/>
  <c r="C293" i="1"/>
  <c r="E293" i="1"/>
  <c r="G293" i="1"/>
  <c r="C294" i="1"/>
  <c r="E294" i="1"/>
  <c r="G294" i="1"/>
  <c r="C295" i="1"/>
  <c r="E295" i="1"/>
  <c r="G295" i="1"/>
  <c r="C296" i="1"/>
  <c r="E296" i="1"/>
  <c r="G296" i="1"/>
  <c r="C297" i="1"/>
  <c r="E297" i="1"/>
  <c r="G297" i="1"/>
  <c r="C298" i="1"/>
  <c r="E298" i="1"/>
  <c r="G298" i="1"/>
  <c r="C299" i="1"/>
  <c r="E299" i="1"/>
  <c r="G299" i="1"/>
  <c r="C300" i="1"/>
  <c r="E300" i="1"/>
  <c r="G300" i="1"/>
  <c r="C301" i="1"/>
  <c r="E301" i="1"/>
  <c r="G301" i="1"/>
  <c r="C302" i="1"/>
  <c r="E302" i="1"/>
  <c r="G302" i="1"/>
  <c r="C303" i="1"/>
  <c r="E303" i="1"/>
  <c r="G303" i="1"/>
  <c r="C304" i="1"/>
  <c r="E304" i="1"/>
  <c r="G304" i="1"/>
  <c r="C305" i="1"/>
  <c r="E305" i="1"/>
  <c r="G305" i="1"/>
  <c r="C306" i="1"/>
  <c r="E306" i="1"/>
  <c r="G306" i="1"/>
  <c r="C307" i="1"/>
  <c r="E307" i="1"/>
  <c r="G307" i="1"/>
  <c r="C308" i="1"/>
  <c r="E308" i="1"/>
  <c r="G308" i="1"/>
  <c r="C309" i="1"/>
  <c r="E309" i="1"/>
  <c r="G309" i="1"/>
  <c r="C310" i="1"/>
  <c r="E310" i="1"/>
  <c r="G310" i="1"/>
  <c r="C311" i="1"/>
  <c r="E311" i="1"/>
  <c r="G311" i="1"/>
  <c r="C312" i="1"/>
  <c r="E312" i="1"/>
  <c r="G312" i="1"/>
  <c r="C313" i="1"/>
  <c r="E313" i="1"/>
  <c r="G313" i="1"/>
  <c r="C314" i="1"/>
  <c r="E314" i="1"/>
  <c r="G314" i="1"/>
  <c r="C315" i="1"/>
  <c r="E315" i="1"/>
  <c r="G315" i="1"/>
  <c r="C316" i="1"/>
  <c r="E316" i="1"/>
  <c r="G316" i="1"/>
  <c r="C317" i="1"/>
  <c r="E317" i="1"/>
  <c r="G317" i="1"/>
  <c r="C318" i="1"/>
  <c r="E318" i="1"/>
  <c r="G318" i="1"/>
  <c r="C319" i="1"/>
  <c r="E319" i="1"/>
  <c r="G319" i="1"/>
  <c r="C320" i="1"/>
  <c r="E320" i="1"/>
  <c r="G320" i="1"/>
  <c r="C321" i="1"/>
  <c r="G321" i="1"/>
  <c r="C322" i="1"/>
  <c r="E322" i="1"/>
  <c r="G322" i="1"/>
  <c r="C323" i="1"/>
  <c r="E323" i="1"/>
  <c r="G323" i="1"/>
  <c r="C324" i="1"/>
  <c r="E324" i="1"/>
  <c r="G324" i="1"/>
  <c r="C325" i="1"/>
  <c r="E325" i="1"/>
  <c r="G325" i="1"/>
  <c r="C326" i="1"/>
  <c r="E326" i="1"/>
  <c r="G326" i="1"/>
  <c r="C327" i="1"/>
  <c r="E327" i="1"/>
  <c r="G327" i="1"/>
  <c r="C328" i="1"/>
  <c r="E328" i="1"/>
  <c r="G328" i="1"/>
  <c r="C329" i="1"/>
  <c r="E329" i="1"/>
  <c r="G329" i="1"/>
  <c r="C330" i="1"/>
  <c r="E330" i="1"/>
  <c r="G330" i="1"/>
  <c r="C331" i="1"/>
  <c r="E331" i="1"/>
  <c r="G331" i="1"/>
  <c r="C332" i="1"/>
  <c r="E332" i="1"/>
  <c r="G332" i="1"/>
  <c r="C333" i="1"/>
  <c r="E333" i="1"/>
  <c r="G333" i="1"/>
  <c r="C334" i="1"/>
  <c r="E334" i="1"/>
  <c r="G334" i="1"/>
  <c r="C335" i="1"/>
  <c r="E335" i="1"/>
  <c r="G335" i="1"/>
  <c r="C336" i="1"/>
  <c r="E336" i="1"/>
  <c r="G336" i="1"/>
  <c r="C337" i="1"/>
  <c r="E337" i="1"/>
  <c r="G337" i="1"/>
  <c r="C338" i="1"/>
  <c r="E338" i="1"/>
  <c r="G338" i="1"/>
  <c r="C339" i="1"/>
  <c r="E339" i="1"/>
  <c r="G339" i="1"/>
  <c r="C340" i="1"/>
  <c r="E340" i="1"/>
  <c r="G340" i="1"/>
  <c r="C341" i="1"/>
  <c r="E341" i="1"/>
  <c r="G341" i="1"/>
  <c r="C342" i="1"/>
  <c r="E342" i="1"/>
  <c r="G342" i="1"/>
  <c r="C343" i="1"/>
  <c r="E343" i="1"/>
  <c r="G343" i="1"/>
  <c r="C344" i="1"/>
  <c r="E344" i="1"/>
  <c r="G344" i="1"/>
  <c r="C345" i="1"/>
  <c r="E345" i="1"/>
  <c r="G345" i="1"/>
  <c r="C346" i="1"/>
  <c r="E346" i="1"/>
  <c r="G346" i="1"/>
  <c r="C347" i="1"/>
  <c r="E347" i="1"/>
  <c r="G347" i="1"/>
  <c r="C348" i="1"/>
  <c r="E348" i="1"/>
  <c r="G348" i="1"/>
  <c r="C349" i="1"/>
  <c r="G349" i="1"/>
  <c r="C350" i="1"/>
  <c r="G350" i="1"/>
  <c r="C351" i="1"/>
  <c r="G351" i="1"/>
  <c r="C352" i="1"/>
  <c r="G352" i="1"/>
  <c r="C353" i="1"/>
  <c r="G353" i="1"/>
  <c r="C354" i="1"/>
  <c r="G354" i="1"/>
  <c r="C355" i="1"/>
  <c r="G355" i="1"/>
  <c r="C356" i="1"/>
  <c r="G356" i="1"/>
  <c r="C357" i="1"/>
  <c r="G357" i="1"/>
  <c r="C358" i="1"/>
  <c r="G358" i="1"/>
  <c r="C359" i="1"/>
  <c r="G359" i="1"/>
  <c r="C360" i="1"/>
  <c r="G360" i="1"/>
  <c r="C361" i="1"/>
  <c r="G361" i="1"/>
  <c r="C362" i="1"/>
  <c r="G362" i="1"/>
  <c r="C363" i="1"/>
  <c r="G363" i="1"/>
  <c r="C364" i="1"/>
  <c r="G364" i="1"/>
  <c r="C365" i="1"/>
  <c r="G365" i="1"/>
  <c r="C366" i="1"/>
  <c r="G366" i="1"/>
  <c r="C367" i="1"/>
  <c r="G367" i="1"/>
  <c r="C368" i="1"/>
  <c r="G368" i="1"/>
  <c r="C369" i="1"/>
  <c r="G369" i="1"/>
  <c r="C370" i="1"/>
  <c r="E370" i="1"/>
  <c r="G370" i="1"/>
  <c r="C371" i="1"/>
  <c r="E371" i="1"/>
  <c r="G371" i="1"/>
  <c r="C372" i="1"/>
  <c r="G372" i="1"/>
  <c r="C373" i="1"/>
  <c r="G373" i="1"/>
  <c r="C374" i="1"/>
  <c r="E374" i="1"/>
  <c r="G374" i="1"/>
  <c r="C375" i="1"/>
  <c r="G375" i="1"/>
  <c r="E376" i="1"/>
  <c r="E377" i="1"/>
  <c r="E378" i="1"/>
  <c r="E379" i="1"/>
  <c r="E380" i="1"/>
  <c r="E381" i="1"/>
  <c r="E382" i="1"/>
  <c r="E383" i="1"/>
  <c r="E384" i="1"/>
  <c r="E385" i="1"/>
  <c r="E386" i="1"/>
  <c r="E387" i="1"/>
  <c r="E388" i="1"/>
  <c r="E389" i="1"/>
  <c r="E390" i="1"/>
  <c r="E391" i="1"/>
  <c r="E392" i="1"/>
  <c r="E393" i="1"/>
  <c r="E394" i="1"/>
  <c r="E395" i="1"/>
  <c r="E396" i="1"/>
  <c r="E397" i="1"/>
  <c r="E398" i="1"/>
  <c r="E399" i="1"/>
  <c r="E400" i="1"/>
  <c r="E401" i="1"/>
  <c r="E402" i="1"/>
  <c r="E403" i="1"/>
  <c r="E404" i="1"/>
  <c r="E405" i="1"/>
  <c r="E406" i="1"/>
  <c r="E407" i="1"/>
  <c r="E408" i="1"/>
  <c r="E409" i="1"/>
  <c r="E410" i="1"/>
  <c r="E411" i="1"/>
  <c r="E412" i="1"/>
  <c r="E413" i="1"/>
  <c r="E414" i="1"/>
  <c r="E415" i="1"/>
  <c r="E416" i="1"/>
  <c r="E417" i="1"/>
  <c r="E418" i="1"/>
  <c r="E419" i="1"/>
  <c r="E420" i="1"/>
  <c r="E421" i="1"/>
  <c r="E422" i="1"/>
  <c r="E423" i="1"/>
  <c r="E424" i="1"/>
  <c r="E425" i="1"/>
  <c r="E426" i="1"/>
  <c r="E427" i="1"/>
  <c r="E428" i="1"/>
  <c r="E429" i="1"/>
  <c r="E430" i="1"/>
  <c r="E431" i="1"/>
  <c r="E432" i="1"/>
  <c r="E433" i="1"/>
  <c r="E434" i="1"/>
  <c r="E435" i="1"/>
  <c r="E436" i="1"/>
  <c r="E437" i="1"/>
  <c r="E438" i="1"/>
  <c r="E439" i="1"/>
  <c r="E440" i="1"/>
  <c r="E441" i="1"/>
  <c r="E442" i="1"/>
  <c r="E443" i="1"/>
  <c r="E444" i="1"/>
  <c r="E445" i="1"/>
  <c r="E446" i="1"/>
  <c r="E447" i="1"/>
  <c r="E448" i="1"/>
  <c r="E449" i="1"/>
  <c r="E450" i="1"/>
  <c r="E451" i="1"/>
  <c r="E452" i="1"/>
  <c r="E453" i="1"/>
  <c r="E454" i="1"/>
  <c r="E455" i="1"/>
  <c r="E456" i="1"/>
  <c r="E457" i="1"/>
  <c r="E458" i="1"/>
  <c r="E459" i="1"/>
  <c r="E460" i="1"/>
  <c r="E461" i="1"/>
  <c r="E462" i="1"/>
  <c r="E463" i="1"/>
  <c r="E464" i="1"/>
  <c r="E465" i="1"/>
  <c r="E466" i="1"/>
  <c r="E467" i="1"/>
  <c r="E468" i="1"/>
  <c r="E469" i="1"/>
  <c r="E470" i="1"/>
  <c r="E471" i="1"/>
  <c r="E472" i="1"/>
  <c r="E473" i="1"/>
  <c r="E474" i="1"/>
  <c r="E475" i="1"/>
  <c r="E476" i="1"/>
  <c r="E477" i="1"/>
  <c r="E478" i="1"/>
  <c r="E479" i="1"/>
  <c r="E480" i="1"/>
  <c r="E481" i="1"/>
  <c r="E482" i="1"/>
  <c r="E483" i="1"/>
  <c r="E484" i="1"/>
  <c r="E485" i="1"/>
  <c r="E486" i="1"/>
  <c r="E487" i="1"/>
  <c r="E488" i="1"/>
  <c r="E489" i="1"/>
  <c r="E490" i="1"/>
  <c r="E491" i="1"/>
  <c r="E492" i="1"/>
  <c r="E493" i="1"/>
  <c r="E494" i="1"/>
  <c r="E495" i="1"/>
  <c r="E496" i="1"/>
  <c r="E497" i="1"/>
  <c r="E498" i="1"/>
  <c r="E499" i="1"/>
  <c r="E500" i="1"/>
  <c r="E501" i="1"/>
  <c r="E502" i="1"/>
  <c r="E503" i="1"/>
  <c r="E504" i="1"/>
  <c r="E505" i="1"/>
  <c r="E506" i="1"/>
  <c r="E507" i="1"/>
  <c r="E508" i="1"/>
  <c r="E509" i="1"/>
  <c r="E510" i="1"/>
  <c r="E511" i="1"/>
  <c r="E512" i="1"/>
  <c r="E513" i="1"/>
  <c r="E514" i="1"/>
  <c r="E515" i="1"/>
  <c r="E516" i="1"/>
  <c r="E517" i="1"/>
  <c r="E518" i="1"/>
  <c r="E519" i="1"/>
  <c r="E520" i="1"/>
  <c r="E521" i="1"/>
  <c r="E522" i="1"/>
  <c r="E523" i="1"/>
  <c r="E524" i="1"/>
  <c r="E525" i="1"/>
  <c r="E526" i="1"/>
  <c r="E527" i="1"/>
  <c r="E528" i="1"/>
  <c r="E529" i="1"/>
  <c r="E530" i="1"/>
  <c r="E531" i="1"/>
  <c r="E532" i="1"/>
  <c r="E533" i="1"/>
  <c r="E534" i="1"/>
  <c r="E535" i="1"/>
  <c r="E536" i="1"/>
  <c r="E537" i="1"/>
  <c r="E538" i="1"/>
  <c r="E539" i="1"/>
  <c r="E540" i="1"/>
  <c r="E541" i="1"/>
  <c r="E542" i="1"/>
  <c r="E543" i="1"/>
  <c r="E544" i="1"/>
  <c r="E545" i="1"/>
  <c r="E546" i="1"/>
  <c r="E547" i="1"/>
  <c r="E548" i="1"/>
  <c r="E549" i="1"/>
  <c r="E550" i="1"/>
  <c r="E551" i="1"/>
  <c r="E552" i="1"/>
  <c r="E553" i="1"/>
  <c r="E554" i="1"/>
  <c r="E555" i="1"/>
  <c r="E556" i="1"/>
  <c r="E557" i="1"/>
  <c r="E558" i="1"/>
  <c r="E559" i="1"/>
  <c r="E560" i="1"/>
  <c r="E561" i="1"/>
  <c r="E562" i="1"/>
  <c r="E563" i="1"/>
  <c r="E564" i="1"/>
  <c r="E565" i="1"/>
  <c r="E566" i="1"/>
  <c r="E567" i="1"/>
  <c r="E568" i="1"/>
  <c r="E569" i="1"/>
  <c r="E570" i="1"/>
  <c r="E571" i="1"/>
  <c r="E572" i="1"/>
  <c r="E573" i="1"/>
  <c r="E574" i="1"/>
  <c r="E575" i="1"/>
  <c r="E576" i="1"/>
  <c r="E577" i="1"/>
  <c r="E578" i="1"/>
  <c r="E579" i="1"/>
  <c r="E580" i="1"/>
  <c r="E581" i="1"/>
  <c r="E582" i="1"/>
  <c r="E583" i="1"/>
  <c r="E584" i="1"/>
  <c r="E585" i="1"/>
  <c r="E586" i="1"/>
  <c r="E587" i="1"/>
  <c r="E588" i="1"/>
  <c r="E589" i="1"/>
  <c r="E590" i="1"/>
  <c r="E591" i="1"/>
  <c r="E592" i="1"/>
  <c r="E593" i="1"/>
  <c r="E594" i="1"/>
  <c r="E595" i="1"/>
  <c r="E596" i="1"/>
  <c r="E597" i="1"/>
  <c r="E598" i="1"/>
  <c r="E599" i="1"/>
  <c r="E600" i="1"/>
  <c r="G376" i="1"/>
  <c r="G377" i="1"/>
  <c r="G378" i="1"/>
  <c r="G379" i="1"/>
  <c r="G380" i="1"/>
  <c r="G381" i="1"/>
  <c r="G382" i="1"/>
  <c r="G383" i="1"/>
  <c r="G384" i="1"/>
  <c r="G385" i="1"/>
  <c r="G386" i="1"/>
  <c r="G387" i="1"/>
  <c r="G388" i="1"/>
  <c r="G389" i="1"/>
  <c r="G390" i="1"/>
  <c r="G391" i="1"/>
  <c r="G392" i="1"/>
  <c r="G393" i="1"/>
  <c r="G394" i="1"/>
  <c r="G395" i="1"/>
  <c r="G396" i="1"/>
  <c r="G397" i="1"/>
  <c r="G398" i="1"/>
  <c r="G399" i="1"/>
  <c r="G400" i="1"/>
  <c r="G401" i="1"/>
  <c r="G402" i="1"/>
  <c r="G403" i="1"/>
  <c r="G404" i="1"/>
  <c r="G405" i="1"/>
  <c r="G406" i="1"/>
  <c r="G407" i="1"/>
  <c r="G408" i="1"/>
  <c r="G409" i="1"/>
  <c r="G410" i="1"/>
  <c r="G411" i="1"/>
  <c r="G412" i="1"/>
  <c r="G413" i="1"/>
  <c r="G414" i="1"/>
  <c r="G415" i="1"/>
  <c r="G416" i="1"/>
  <c r="G417" i="1"/>
  <c r="G418" i="1"/>
  <c r="G419" i="1"/>
  <c r="G420" i="1"/>
  <c r="G421" i="1"/>
  <c r="G422" i="1"/>
  <c r="G423" i="1"/>
  <c r="G424" i="1"/>
  <c r="G425" i="1"/>
  <c r="G426" i="1"/>
  <c r="G427" i="1"/>
  <c r="G428" i="1"/>
  <c r="G429" i="1"/>
  <c r="G430" i="1"/>
  <c r="G431" i="1"/>
  <c r="G432" i="1"/>
  <c r="G433" i="1"/>
  <c r="G434" i="1"/>
  <c r="G435" i="1"/>
  <c r="G436" i="1"/>
  <c r="G437" i="1"/>
  <c r="G438" i="1"/>
  <c r="G439" i="1"/>
  <c r="G440" i="1"/>
  <c r="G441" i="1"/>
  <c r="G442" i="1"/>
  <c r="G443" i="1"/>
  <c r="G444" i="1"/>
  <c r="G445" i="1"/>
  <c r="G446" i="1"/>
  <c r="G447" i="1"/>
  <c r="G448" i="1"/>
  <c r="G449" i="1"/>
  <c r="G450" i="1"/>
  <c r="G451" i="1"/>
  <c r="G452" i="1"/>
  <c r="G453" i="1"/>
  <c r="G454" i="1"/>
  <c r="G455" i="1"/>
  <c r="G456" i="1"/>
  <c r="G457" i="1"/>
  <c r="G458" i="1"/>
  <c r="G459" i="1"/>
  <c r="G460" i="1"/>
  <c r="G461" i="1"/>
  <c r="G462" i="1"/>
  <c r="G463" i="1"/>
  <c r="G464" i="1"/>
  <c r="G465" i="1"/>
  <c r="G466" i="1"/>
  <c r="G467" i="1"/>
  <c r="G468" i="1"/>
  <c r="G469" i="1"/>
  <c r="G470" i="1"/>
  <c r="G471" i="1"/>
  <c r="G472" i="1"/>
  <c r="G473" i="1"/>
  <c r="G474" i="1"/>
  <c r="G475" i="1"/>
  <c r="G476" i="1"/>
  <c r="G477" i="1"/>
  <c r="G478" i="1"/>
  <c r="G479" i="1"/>
  <c r="G480" i="1"/>
  <c r="G481" i="1"/>
  <c r="G482" i="1"/>
  <c r="G483" i="1"/>
  <c r="G484" i="1"/>
  <c r="G485" i="1"/>
  <c r="G486" i="1"/>
  <c r="G487" i="1"/>
  <c r="G488" i="1"/>
  <c r="G489" i="1"/>
  <c r="G490" i="1"/>
  <c r="G491" i="1"/>
  <c r="G492" i="1"/>
  <c r="G493" i="1"/>
  <c r="G494" i="1"/>
  <c r="G495" i="1"/>
  <c r="G496" i="1"/>
  <c r="G497" i="1"/>
  <c r="G498" i="1"/>
  <c r="G499" i="1"/>
  <c r="G500" i="1"/>
  <c r="G501" i="1"/>
  <c r="G502" i="1"/>
  <c r="G503" i="1"/>
  <c r="G504" i="1"/>
  <c r="G505" i="1"/>
  <c r="G506" i="1"/>
  <c r="G507" i="1"/>
  <c r="G508" i="1"/>
  <c r="G509" i="1"/>
  <c r="G510" i="1"/>
  <c r="G511" i="1"/>
  <c r="G512" i="1"/>
  <c r="G513" i="1"/>
  <c r="G514" i="1"/>
  <c r="G515" i="1"/>
  <c r="G516" i="1"/>
  <c r="G517" i="1"/>
  <c r="G518" i="1"/>
  <c r="G519" i="1"/>
  <c r="G520" i="1"/>
  <c r="G521" i="1"/>
  <c r="G522" i="1"/>
  <c r="G523" i="1"/>
  <c r="G524" i="1"/>
  <c r="G525" i="1"/>
  <c r="G526" i="1"/>
  <c r="G527" i="1"/>
  <c r="G528" i="1"/>
  <c r="G529" i="1"/>
  <c r="G530" i="1"/>
  <c r="G531" i="1"/>
  <c r="G532" i="1"/>
  <c r="G533" i="1"/>
  <c r="G534" i="1"/>
  <c r="G535" i="1"/>
  <c r="G536" i="1"/>
  <c r="G537" i="1"/>
  <c r="G538" i="1"/>
  <c r="G539" i="1"/>
  <c r="G540" i="1"/>
  <c r="G541" i="1"/>
  <c r="G542" i="1"/>
  <c r="G543" i="1"/>
  <c r="G544" i="1"/>
  <c r="G545" i="1"/>
  <c r="G546" i="1"/>
  <c r="G547" i="1"/>
  <c r="G548" i="1"/>
  <c r="G549" i="1"/>
  <c r="G550" i="1"/>
  <c r="G551" i="1"/>
  <c r="G552" i="1"/>
  <c r="G553" i="1"/>
  <c r="G554" i="1"/>
  <c r="G555" i="1"/>
  <c r="G556" i="1"/>
  <c r="G557" i="1"/>
  <c r="G558" i="1"/>
  <c r="G559" i="1"/>
  <c r="G560" i="1"/>
  <c r="G561" i="1"/>
  <c r="G562" i="1"/>
  <c r="G563" i="1"/>
  <c r="G564" i="1"/>
  <c r="G565" i="1"/>
  <c r="G566" i="1"/>
  <c r="G567" i="1"/>
  <c r="G568" i="1"/>
  <c r="G569" i="1"/>
  <c r="G570" i="1"/>
  <c r="G571" i="1"/>
  <c r="G572" i="1"/>
  <c r="G573" i="1"/>
  <c r="G574" i="1"/>
  <c r="G575" i="1"/>
  <c r="G576" i="1"/>
  <c r="G577" i="1"/>
  <c r="G578" i="1"/>
  <c r="G579" i="1"/>
  <c r="G580" i="1"/>
  <c r="G581" i="1"/>
  <c r="G582" i="1"/>
  <c r="G583" i="1"/>
  <c r="G584" i="1"/>
  <c r="G585" i="1"/>
  <c r="G586" i="1"/>
  <c r="G587" i="1"/>
  <c r="G588" i="1"/>
  <c r="G589" i="1"/>
  <c r="G590" i="1"/>
  <c r="G591" i="1"/>
  <c r="G592" i="1"/>
  <c r="G593" i="1"/>
  <c r="G594" i="1"/>
  <c r="G595" i="1"/>
  <c r="G596" i="1"/>
  <c r="G597" i="1"/>
  <c r="G598" i="1"/>
  <c r="G599" i="1"/>
  <c r="G600" i="1"/>
  <c r="C376" i="1"/>
  <c r="C377" i="1"/>
  <c r="C378" i="1"/>
  <c r="C379" i="1"/>
  <c r="C380" i="1"/>
  <c r="C381" i="1"/>
  <c r="C382" i="1"/>
  <c r="C383" i="1"/>
  <c r="C384" i="1"/>
  <c r="C385" i="1"/>
  <c r="C386" i="1"/>
  <c r="C387" i="1"/>
  <c r="C388" i="1"/>
  <c r="C389" i="1"/>
  <c r="C390" i="1"/>
  <c r="C391" i="1"/>
  <c r="C392" i="1"/>
  <c r="C393" i="1"/>
  <c r="C394" i="1"/>
  <c r="C395" i="1"/>
  <c r="C396" i="1"/>
  <c r="C397" i="1"/>
  <c r="C398" i="1"/>
  <c r="C399" i="1"/>
  <c r="C400" i="1"/>
  <c r="C401" i="1"/>
  <c r="C402" i="1"/>
  <c r="C403" i="1"/>
  <c r="C404" i="1"/>
  <c r="C405" i="1"/>
  <c r="C406" i="1"/>
  <c r="C407" i="1"/>
  <c r="C408" i="1"/>
  <c r="C409" i="1"/>
  <c r="C410" i="1"/>
  <c r="C411" i="1"/>
  <c r="C412" i="1"/>
  <c r="C413" i="1"/>
  <c r="C414" i="1"/>
  <c r="C415" i="1"/>
  <c r="C416" i="1"/>
  <c r="C417" i="1"/>
  <c r="C418" i="1"/>
  <c r="C419" i="1"/>
  <c r="C420" i="1"/>
  <c r="C421" i="1"/>
  <c r="C422" i="1"/>
  <c r="C423" i="1"/>
  <c r="C424" i="1"/>
  <c r="C425" i="1"/>
  <c r="C426" i="1"/>
  <c r="C427" i="1"/>
  <c r="C428" i="1"/>
  <c r="C429" i="1"/>
  <c r="C430" i="1"/>
  <c r="C431" i="1"/>
  <c r="C432" i="1"/>
  <c r="C433" i="1"/>
  <c r="C434" i="1"/>
  <c r="C435" i="1"/>
  <c r="C436" i="1"/>
  <c r="C437" i="1"/>
  <c r="C438" i="1"/>
  <c r="C439" i="1"/>
  <c r="C440" i="1"/>
  <c r="C441" i="1"/>
  <c r="C442" i="1"/>
  <c r="C443" i="1"/>
  <c r="C444" i="1"/>
  <c r="C445" i="1"/>
  <c r="C446" i="1"/>
  <c r="C447" i="1"/>
  <c r="C448" i="1"/>
  <c r="C449" i="1"/>
  <c r="C450" i="1"/>
  <c r="C451" i="1"/>
  <c r="C452" i="1"/>
  <c r="C453" i="1"/>
  <c r="C454" i="1"/>
  <c r="C455" i="1"/>
  <c r="C456" i="1"/>
  <c r="C457" i="1"/>
  <c r="C458" i="1"/>
  <c r="C459" i="1"/>
  <c r="C460" i="1"/>
  <c r="C461" i="1"/>
  <c r="C462" i="1"/>
  <c r="C463" i="1"/>
  <c r="C464" i="1"/>
  <c r="C465" i="1"/>
  <c r="C466" i="1"/>
  <c r="C467" i="1"/>
  <c r="C468" i="1"/>
  <c r="C469" i="1"/>
  <c r="C470" i="1"/>
  <c r="C471" i="1"/>
  <c r="C472" i="1"/>
  <c r="C473" i="1"/>
  <c r="C474" i="1"/>
  <c r="C475" i="1"/>
  <c r="C476" i="1"/>
  <c r="C477" i="1"/>
  <c r="C478" i="1"/>
  <c r="C479" i="1"/>
  <c r="C480" i="1"/>
  <c r="C481" i="1"/>
  <c r="C482" i="1"/>
  <c r="C483" i="1"/>
  <c r="C484" i="1"/>
  <c r="C485" i="1"/>
  <c r="C486" i="1"/>
  <c r="C487" i="1"/>
  <c r="C488" i="1"/>
  <c r="C489" i="1"/>
  <c r="C490" i="1"/>
  <c r="C491" i="1"/>
  <c r="C492" i="1"/>
  <c r="C493" i="1"/>
  <c r="C494" i="1"/>
  <c r="C495" i="1"/>
  <c r="C496" i="1"/>
  <c r="C497" i="1"/>
  <c r="C498" i="1"/>
  <c r="C499" i="1"/>
  <c r="C500" i="1"/>
  <c r="C501" i="1"/>
  <c r="C502" i="1"/>
  <c r="C503" i="1"/>
  <c r="C504" i="1"/>
  <c r="C505" i="1"/>
  <c r="C506" i="1"/>
  <c r="C507" i="1"/>
  <c r="C508" i="1"/>
  <c r="C509" i="1"/>
  <c r="C510" i="1"/>
  <c r="C511" i="1"/>
  <c r="C512" i="1"/>
  <c r="C513" i="1"/>
  <c r="C514" i="1"/>
  <c r="C515" i="1"/>
  <c r="C516" i="1"/>
  <c r="C517" i="1"/>
  <c r="C518" i="1"/>
  <c r="C519" i="1"/>
  <c r="C520" i="1"/>
  <c r="C521" i="1"/>
  <c r="C522" i="1"/>
  <c r="C523" i="1"/>
  <c r="C524" i="1"/>
  <c r="C525" i="1"/>
  <c r="C526" i="1"/>
  <c r="C527" i="1"/>
  <c r="C528" i="1"/>
  <c r="C529" i="1"/>
  <c r="C530" i="1"/>
  <c r="C531" i="1"/>
  <c r="C532" i="1"/>
  <c r="C533" i="1"/>
  <c r="C534" i="1"/>
  <c r="C535" i="1"/>
  <c r="C536" i="1"/>
  <c r="C537" i="1"/>
  <c r="C538" i="1"/>
  <c r="C539" i="1"/>
  <c r="C540" i="1"/>
  <c r="C541" i="1"/>
  <c r="C542" i="1"/>
  <c r="C543" i="1"/>
  <c r="C544" i="1"/>
  <c r="C545" i="1"/>
  <c r="C546" i="1"/>
  <c r="C547" i="1"/>
  <c r="C548" i="1"/>
  <c r="C549" i="1"/>
  <c r="C550" i="1"/>
  <c r="C551" i="1"/>
  <c r="C552" i="1"/>
  <c r="C553" i="1"/>
  <c r="C554" i="1"/>
  <c r="C555" i="1"/>
  <c r="C556" i="1"/>
  <c r="C557" i="1"/>
  <c r="C558" i="1"/>
  <c r="C559" i="1"/>
  <c r="C560" i="1"/>
  <c r="C561" i="1"/>
  <c r="C562" i="1"/>
  <c r="C563" i="1"/>
  <c r="C564" i="1"/>
  <c r="C565" i="1"/>
  <c r="C566" i="1"/>
  <c r="C567" i="1"/>
  <c r="C568" i="1"/>
  <c r="C569" i="1"/>
  <c r="C570" i="1"/>
  <c r="C571" i="1"/>
  <c r="C572" i="1"/>
  <c r="C573" i="1"/>
  <c r="C574" i="1"/>
  <c r="C575" i="1"/>
  <c r="C576" i="1"/>
  <c r="C577" i="1"/>
  <c r="C578" i="1"/>
  <c r="C579" i="1"/>
  <c r="C580" i="1"/>
  <c r="C581" i="1"/>
  <c r="C582" i="1"/>
  <c r="C583" i="1"/>
  <c r="C584" i="1"/>
  <c r="C585" i="1"/>
  <c r="C586" i="1"/>
  <c r="C587" i="1"/>
  <c r="C588" i="1"/>
  <c r="C589" i="1"/>
  <c r="C590" i="1"/>
  <c r="C591" i="1"/>
  <c r="C592" i="1"/>
  <c r="C593" i="1"/>
  <c r="C594" i="1"/>
  <c r="C595" i="1"/>
  <c r="C596" i="1"/>
  <c r="C597" i="1"/>
  <c r="C598" i="1"/>
  <c r="C599" i="1"/>
  <c r="C600" i="1"/>
</calcChain>
</file>

<file path=xl/sharedStrings.xml><?xml version="1.0" encoding="utf-8"?>
<sst xmlns="http://schemas.openxmlformats.org/spreadsheetml/2006/main" count="2017" uniqueCount="510">
  <si>
    <t>Dispensa/Inexigibilidade de Licitação</t>
  </si>
  <si>
    <t>Preceito Legal</t>
  </si>
  <si>
    <t>Numero do Processo</t>
  </si>
  <si>
    <t>Data do Empenho</t>
  </si>
  <si>
    <t>Objeto</t>
  </si>
  <si>
    <t>Elemento e SubElemento da Despesa</t>
  </si>
  <si>
    <t>Número do Empenho</t>
  </si>
  <si>
    <t>Valor do Empenho</t>
  </si>
  <si>
    <t>Contratado(a)</t>
  </si>
  <si>
    <t>CNPJ/CPF</t>
  </si>
  <si>
    <t>(a)</t>
  </si>
  <si>
    <t>(b)</t>
  </si>
  <si>
    <t>(c)</t>
  </si>
  <si>
    <t>(d)</t>
  </si>
  <si>
    <t>(e)</t>
  </si>
  <si>
    <t>(f)</t>
  </si>
  <si>
    <t>(g)</t>
  </si>
  <si>
    <t>(h)</t>
  </si>
  <si>
    <t>(i)</t>
  </si>
  <si>
    <t>(j)</t>
  </si>
  <si>
    <t>INEXIGIBILIDADE</t>
  </si>
  <si>
    <t>Lei n° 14.133/2021, Art. 74</t>
  </si>
  <si>
    <t>09.2024.00002055-3</t>
  </si>
  <si>
    <t>FORNECIMENTO DE ÁGUA PARA PROMOTORIA DE JUSTIÇA DE MORADA NOVA POR ESTIMATIVA RELATIVO AOS MESES DE JANEIRO A MARÇO DE 2024.</t>
  </si>
  <si>
    <t>2024NE000002</t>
  </si>
  <si>
    <t xml:space="preserve">SAAE DE MORADA NOVA                     </t>
  </si>
  <si>
    <t>7676836000150</t>
  </si>
  <si>
    <t>09.2024.00002056-4</t>
  </si>
  <si>
    <t>FORNECIMENTO DE ÁGUA PARA PROMOTORIA DE JUSTIÇA DE QUIXERAMOBIM POR ESTIMATIVA RELATIVO AOS MESES DE JANEIRO A MARÇO DE 2024</t>
  </si>
  <si>
    <t>2024NE000003</t>
  </si>
  <si>
    <t>SERVICO AUTONOMO DE AGUA E ESGOTO DE QUIXERAMOBIM</t>
  </si>
  <si>
    <t>7742778000115</t>
  </si>
  <si>
    <t>SERVIÇOS DE SUPORTE TÉCNICO DA SOLUÇÃO GUARDIÃO WEB-BY, CONMFORME CONTRATO 02/2021 E PROJETO 19/2023. POR ESTIMATIVA  PARA OS MESES DE JANEIRO A MARÇO DE 2024.</t>
  </si>
  <si>
    <t>DIGITRO TECNOLOGIA S.A.</t>
  </si>
  <si>
    <t>83472803000176</t>
  </si>
  <si>
    <t>09.2024.00002054-2</t>
  </si>
  <si>
    <t>FORNECIMENTO DE ÁGUA PARA PROMOTORIA DE JUSTIÇA DE LIMOEIRO DO NORTE POR ESTIMATIVA RELATIVO AOS MESES DE JANEIRO A MARÇO DE 2024</t>
  </si>
  <si>
    <t>2024NE000004</t>
  </si>
  <si>
    <t>SERVIÇO AUTÔNOMO DE ÁGUA E ESGOTO DE LIMOEIRO DO NORTE</t>
  </si>
  <si>
    <t>7625932000179</t>
  </si>
  <si>
    <t>09.2024.00002053-1</t>
  </si>
  <si>
    <t>FORNECIMENTO DE ÁGUA PARA PROMOTORIA DE JUSTIÇA DE JUCÁS POR ESTIMATIVA RELATIVO AOS MESES DE JANEIRO A MARÇO DE 2024</t>
  </si>
  <si>
    <t>2024NE000005</t>
  </si>
  <si>
    <t>SAAE DE JUCAS</t>
  </si>
  <si>
    <t>7434954000151</t>
  </si>
  <si>
    <t>DISPENSA</t>
  </si>
  <si>
    <t xml:space="preserve">Lei n° 14.133/2021, </t>
  </si>
  <si>
    <t>09.2021.00015712-5</t>
  </si>
  <si>
    <t>SEGUROS DE VIDA DOS ESTAGIÁRIOS DESTE MP-CE, RELATIVOS AOS MESES DE JANEIRO A MARÇO/2024 POR ESTIMATIVA, CONFORME CONTRATO 32/2021 E PROJETO 27/2023</t>
  </si>
  <si>
    <t>SEGUROS SURA S.A</t>
  </si>
  <si>
    <t>33065699000127</t>
  </si>
  <si>
    <t>ESTIMATIVO</t>
  </si>
  <si>
    <t>http://www8.mpce.mp.br/Empenhos/150001/NE/2024NE000002.pdf</t>
  </si>
  <si>
    <t/>
  </si>
  <si>
    <t>https://transparencia-area-fim.mpce.mp.br/#/consulta/processo/pastadigital/092024000020553</t>
  </si>
  <si>
    <t>http://www8.mpce.mp.br/Empenhos/150001/NE/2024NE000003.pdf</t>
  </si>
  <si>
    <t>https://transparencia-area-fim.mpce.mp.br/#/consulta/processo/pastadigital/092024000020564</t>
  </si>
  <si>
    <t>http://www8.mpce.mp.br/Empenhos/150501/NE/2024NE000003.pdf</t>
  </si>
  <si>
    <t>002/2021</t>
  </si>
  <si>
    <t>http://www8.mpce.mp.br/Empenhos/150001/NE/2024NE000004.pdf</t>
  </si>
  <si>
    <t>https://transparencia-area-fim.mpce.mp.br/#/consulta/processo/pastadigital/092024000020542</t>
  </si>
  <si>
    <t>http://www8.mpce.mp.br/Empenhos/150001/NE/2024NE000005.pdf</t>
  </si>
  <si>
    <t>https://transparencia-area-fim.mpce.mp.br/#/consulta/processo/pastadigital/092024000020531</t>
  </si>
  <si>
    <t>http://www8.mpce.mp.br/Empenhos/150501/NE/2024NE000005.pdf</t>
  </si>
  <si>
    <t>032/2021</t>
  </si>
  <si>
    <t>https://transparencia-area-fim.mpce.mp.br/#/consulta/processo/pastadigital/092021000157125</t>
  </si>
  <si>
    <t>09.2020.00000045-6</t>
  </si>
  <si>
    <t>https://transparencia-area-fim.mpce.mp.br/#/consulta/processo/pastadigital/092020000000456</t>
  </si>
  <si>
    <t>https://www8.mpce.mp.br/Empenhos/150001/Objeto/02-2021.pdf</t>
  </si>
  <si>
    <t>https://www8.mpce.mp.br/Empenhos/150001/Objeto/32-2021.pdf</t>
  </si>
  <si>
    <t>339039 - 14 - 2184.44</t>
  </si>
  <si>
    <t>339040 - 78 - 3080.07</t>
  </si>
  <si>
    <t>339039 - 14 - 2226.86</t>
  </si>
  <si>
    <t>FORNECIMENTO DE ÁGUA PARA PROMOTORIA DE JUSTIÇA DE JARDIM POR ESTIMATIVA RELATIVO AOS MESES DE JANEIRO A MARÇO DE 2024</t>
  </si>
  <si>
    <t>SAAEJ - SERVIÇO AUTONÔMO DE ÁGUA E ESGOTO DE JARDIM</t>
  </si>
  <si>
    <t>29038683000158</t>
  </si>
  <si>
    <t>FORNECIMENTO DE ÁGUA PARA PROMOTORIA DE JUSTIÇA DE JAGUARIBE POR ESTIMATIVA RELATIVO AOS MESES DE JANEIRO A MARÇO DE 2024</t>
  </si>
  <si>
    <t xml:space="preserve">SAAE DE JAGUARIBE </t>
  </si>
  <si>
    <t>5722202000160</t>
  </si>
  <si>
    <t>FORNECIMENTO DE ÁGUA PARA PROMOTORIA DE JUSTIÇA DE ITAPAJÉ POR ESTIMATIVA RELATIVO AOS MESES DE JANEIRO A MARÇO DE 2024</t>
  </si>
  <si>
    <t xml:space="preserve">SAAE DE ITAPAJE                         </t>
  </si>
  <si>
    <t>7544786000157</t>
  </si>
  <si>
    <t>339040 - 78 - 2502.06</t>
  </si>
  <si>
    <t>SOFTPLAN PLANEJAMENTO E SISTEMAS LTDA</t>
  </si>
  <si>
    <t>82845322000104</t>
  </si>
  <si>
    <t>FORNECIMENTO DE ÁGUA PARA PROMOTORIA DE JUSTIÇA DE IGUATU POR ESTIMATIVA RELATIVO AOS MESES DE JANEIRO A MARÇO DE 2024</t>
  </si>
  <si>
    <t>SERVICO AUTONOMO DE AGUA E ESGOTO DE IGUATU</t>
  </si>
  <si>
    <t>7508138000145</t>
  </si>
  <si>
    <t>FORNECIMENTO DE ÁGUA PARA PROMOTORIA DE JUSTIÇA DE ICÓ POR ESTIMATIVA RELATIVO AOS MESES DE JANEIRO A MARÇO DE 2024</t>
  </si>
  <si>
    <t xml:space="preserve">SAAE DE ICO                             </t>
  </si>
  <si>
    <t>5537196000171</t>
  </si>
  <si>
    <t xml:space="preserve">Lei 8.666/93 Art.25 - Caput </t>
  </si>
  <si>
    <t>339039 - 14 - 2149.12</t>
  </si>
  <si>
    <t>BUTUCA PRODUCOES CULTURAIS LTDA - ME</t>
  </si>
  <si>
    <t>13357557000126</t>
  </si>
  <si>
    <t>FORNECIMENTO DE ÁGUA PARA PROMOTORIA DE JUSTIÇA DE GRANJA POR ESTIMATIVA RELATIVO AOS MESES DE JANEIRO A MARÇO DE 2024</t>
  </si>
  <si>
    <t>SAAE SERV AUTONOMO AGUA ESGOTO GRANJA</t>
  </si>
  <si>
    <t>7476369000114</t>
  </si>
  <si>
    <t>Lei 8.666/1993 Art.24 VINCISO VIII</t>
  </si>
  <si>
    <t>339039 - 14 - 2188.01</t>
  </si>
  <si>
    <t xml:space="preserve">EMPRESA BRAS DE CORREIOS E TELEGRAFOS </t>
  </si>
  <si>
    <t>34028316001002</t>
  </si>
  <si>
    <t>FORNECIMENTO DE ÁGUA PARA PROMOTORIA DE JUSTIÇA DE BREJO SANTO POR ESTIMATIVA RELATIVO AOS MESES DE JANEIRO A MARÇO DE 2024</t>
  </si>
  <si>
    <t>PREFEITURA MUNICIPAL DE BREJO SANTO</t>
  </si>
  <si>
    <t>7620701000172</t>
  </si>
  <si>
    <t>FORNECIMENTO DE ÁGUA PARA PROMOTORIA DE JUSTIÇA DE CANINDÉ POR ESTIMATIVA RELATIVO AOS MESES DE JANEIRO A MARÇO DE 2024</t>
  </si>
  <si>
    <t xml:space="preserve">SAAE DE CANINDE </t>
  </si>
  <si>
    <t>7113566000179</t>
  </si>
  <si>
    <t>FORNECIMENTO DE ÁGUA PARA PROMOTORIA DE JUSTIÇA DE SOBRAL POR ESTIMATIVA RELATIVO AOS MESES DE JANEIRO A MARÇO DE 2024</t>
  </si>
  <si>
    <t>SERVIÇO AUTÔNOMO DE ÁGUA E ESGOTO DE SOBRAL</t>
  </si>
  <si>
    <t>7817778000137</t>
  </si>
  <si>
    <t>FORNECIMENTO DE ÁGUA PARA PROMOTORIA DE JUSTIÇA DE SOLONOPOLE POR ESTIMATIVA RELATIVO AOS MESES DE JANEIRO A MARÇO DE 2024</t>
  </si>
  <si>
    <t xml:space="preserve">SAAE DE SOLONOPOLE </t>
  </si>
  <si>
    <t>7852676000152</t>
  </si>
  <si>
    <t>FORNECIMENTO DE ÁGUA PARA USO NO ÂMBITO DO MINISTÉRIO PÚBLICO E PROMOTORIAS EM GERAL POR ESTIMATIVA RELATIVO AOS MESES DE JANEIRO A MARÇO DE 2024</t>
  </si>
  <si>
    <t>COMPANHIA DE AGUA E ESGOTO DO CEARA CAGECE</t>
  </si>
  <si>
    <t>7040108000157</t>
  </si>
  <si>
    <t>FORNECIMENTO DE ÁGUA PARA PROMOTORIA DE JUSTIÇA DE CRATO POR ESTIMATIVA RELATIVO AOS MESES DE JANEIRO A MARÇO DE 2024</t>
  </si>
  <si>
    <t>AMBIENTAL CRATO CONCESSIONARIA DE SANEAMENTO SPE S.A</t>
  </si>
  <si>
    <t>45898856000164</t>
  </si>
  <si>
    <t>339040 - 78 - 3081.08</t>
  </si>
  <si>
    <t>LEME CONSULTORIA EM GESTAO DE RH LTDA</t>
  </si>
  <si>
    <t>7955535000165</t>
  </si>
  <si>
    <t>Lei n° 14.133/2021, Art. 74 INEXIGIBILIDADE DE LICITAÇÃO</t>
  </si>
  <si>
    <t>GARTNER DO BRASIL SERV DE PESQUISAS LTDA</t>
  </si>
  <si>
    <t>2593165000140</t>
  </si>
  <si>
    <t>Lei n° 14.133/2021, Art. 75,x</t>
  </si>
  <si>
    <t>339039 - 14 - 2159.20</t>
  </si>
  <si>
    <t xml:space="preserve">ASSOCIAÇÃO DOS SERVIDORES DA SUPERINTENDÊNCIA DE OBRAS PÚBLICAS-ASSOP             </t>
  </si>
  <si>
    <t>7192669000171</t>
  </si>
  <si>
    <t>Lei n° 14.133/2021, Art. 75,X</t>
  </si>
  <si>
    <t>MACIEL CONSTRUCOES E TERRAPLANAGENS S.A</t>
  </si>
  <si>
    <t>41548652000142</t>
  </si>
  <si>
    <t>Lei n° 14.133/2021, Art. 75 DISPENSA, X</t>
  </si>
  <si>
    <t>B &amp; Q ENERGIA LTDA</t>
  </si>
  <si>
    <t>12255352000177</t>
  </si>
  <si>
    <t>Lei n° 14.133/2021, Art. 75 DISPENSA x</t>
  </si>
  <si>
    <t>SOL POENTE PARTICIPAÇÕES LTDA</t>
  </si>
  <si>
    <t>20657685000150</t>
  </si>
  <si>
    <t>Lei n° 14.133/2021, Art. 75, inc. X</t>
  </si>
  <si>
    <t>RESULT CONSTRUCOES EIRELI</t>
  </si>
  <si>
    <t>32697604000125</t>
  </si>
  <si>
    <t>Lei n° 14.133/2021, Art. 75, Inc. X</t>
  </si>
  <si>
    <t>WR ENGENHARIA LTDA</t>
  </si>
  <si>
    <t>11710431000168</t>
  </si>
  <si>
    <t>MJ IMOBILIÁRIA LTDA</t>
  </si>
  <si>
    <t>44114554000195</t>
  </si>
  <si>
    <t>Lei n° 14.133/2021, Art. 75</t>
  </si>
  <si>
    <t>339039 - 14 - 2156.80</t>
  </si>
  <si>
    <t xml:space="preserve">TK ELEVADORES BRASIL LTDA </t>
  </si>
  <si>
    <t>90347840001190</t>
  </si>
  <si>
    <t>J&amp;C PARTICIPAÇÕES LTDA</t>
  </si>
  <si>
    <t>15473585000134</t>
  </si>
  <si>
    <t xml:space="preserve">ARY BRASIL ADMINISTRAÇÃO DE IMÓVEIS EIRELI </t>
  </si>
  <si>
    <t>8744388000147</t>
  </si>
  <si>
    <t>BLUE STAR CENTRO EMPREENDIMENTO IMOBILIÁRIOS SPE LTDA</t>
  </si>
  <si>
    <t>22588967000179</t>
  </si>
  <si>
    <t>J CIDRAO MASSILON EIRELI</t>
  </si>
  <si>
    <t>41456187000110</t>
  </si>
  <si>
    <t>HYBERNON PARTICIPAÇÕES LTDA</t>
  </si>
  <si>
    <t>23889442000136</t>
  </si>
  <si>
    <t>Lei n 14.133/2021, Art. 75, Inc. X</t>
  </si>
  <si>
    <t>M&amp;M PARTICIPAÇÕES LTDA</t>
  </si>
  <si>
    <t>22705562000173</t>
  </si>
  <si>
    <t xml:space="preserve"> LIMA EMPREENDIMENTOS IMOBILIARIOS LTDA</t>
  </si>
  <si>
    <t>10508750000122</t>
  </si>
  <si>
    <t>Lei n 14.133/2021, Art. 74</t>
  </si>
  <si>
    <t>CLINICA MEDICA MAIS SAUDE LTDA</t>
  </si>
  <si>
    <t>33457311000133</t>
  </si>
  <si>
    <t>OLIMPO EDIFICAÇÕES LTDA</t>
  </si>
  <si>
    <t>5569807000163</t>
  </si>
  <si>
    <t>Lei n° 14.133/2021, Art. 75, X</t>
  </si>
  <si>
    <t>339036 - 12 - 2083.10</t>
  </si>
  <si>
    <t>JOAQUIM DO O DA COSTA NETO</t>
  </si>
  <si>
    <t>19678451824</t>
  </si>
  <si>
    <t>FZ IMOVEIS LTDA</t>
  </si>
  <si>
    <t>7340995000189</t>
  </si>
  <si>
    <t>LEILSON SARAIVA RIBEIRO</t>
  </si>
  <si>
    <t>81324910330</t>
  </si>
  <si>
    <t>Lei n° 14.133/2021, Art. 75 X</t>
  </si>
  <si>
    <t>GALGANI MARIA NEVES DE ARAUJO</t>
  </si>
  <si>
    <t>23017090353</t>
  </si>
  <si>
    <t>RAUHA PARTICIPACOES SA</t>
  </si>
  <si>
    <t>7936046000166</t>
  </si>
  <si>
    <t>JULIO BERNARDINO DA SILVA NETO</t>
  </si>
  <si>
    <t>50591630320</t>
  </si>
  <si>
    <t>TFL SERVICOS DE ADMINISTRACAO DE BENS LTDA</t>
  </si>
  <si>
    <t>14763826000117</t>
  </si>
  <si>
    <t>JOSE ALMEIDA DE OLIVEIRA</t>
  </si>
  <si>
    <t>2144832315</t>
  </si>
  <si>
    <t>DIANA PAULA FONTENELE MAGALHÃES</t>
  </si>
  <si>
    <t>77748638349</t>
  </si>
  <si>
    <t>Lei 8.666/1993 Art.24 ,X</t>
  </si>
  <si>
    <t>WALNEY SOEIRO OSTERNO</t>
  </si>
  <si>
    <t>31014895391</t>
  </si>
  <si>
    <t>ANA REGINA RIBEIRO RODRIGUES</t>
  </si>
  <si>
    <t>84738480391</t>
  </si>
  <si>
    <t>FRANCISCA LUCIMAR PINHEIRO PARENTE</t>
  </si>
  <si>
    <t>43713017387</t>
  </si>
  <si>
    <t>MARINA PINHEIRO DE OLIVEIRA</t>
  </si>
  <si>
    <t>1728735335</t>
  </si>
  <si>
    <t>Lei 8.666/1993 Art.24 ,10</t>
  </si>
  <si>
    <t>SERGIO DOS SANTOS SARAIVA</t>
  </si>
  <si>
    <t>91495059391</t>
  </si>
  <si>
    <t>MICHELL DO AMARAL ALMEIDA</t>
  </si>
  <si>
    <t>35165286215</t>
  </si>
  <si>
    <t>MARIA LIDUINA SILVA GALVÃO</t>
  </si>
  <si>
    <t>7136315387</t>
  </si>
  <si>
    <t>GLICERIO GOMES DE MORAIS NETO</t>
  </si>
  <si>
    <t>19556292349</t>
  </si>
  <si>
    <t>RAIMUNDO ALBANI UCHOA</t>
  </si>
  <si>
    <t>4514670359</t>
  </si>
  <si>
    <t>JOSE LEITE DE ARAUJO</t>
  </si>
  <si>
    <t>7021062320</t>
  </si>
  <si>
    <t>FRANCISO ALENCAR MACEDO</t>
  </si>
  <si>
    <t>5817870304</t>
  </si>
  <si>
    <t>CLAUDIO ROTONDO JUNIOR</t>
  </si>
  <si>
    <t>34123367852</t>
  </si>
  <si>
    <t>MARIA NOEME HOLANDA ALVES</t>
  </si>
  <si>
    <t>50937197300</t>
  </si>
  <si>
    <t>ANTONIO CLODOALDO BATISTA DA CRUZ</t>
  </si>
  <si>
    <t>25876988391</t>
  </si>
  <si>
    <t>IRANILDA BARROSO DE LIMA</t>
  </si>
  <si>
    <t>46950052391</t>
  </si>
  <si>
    <t>LUCIANO SALVIANO SAMPAIO</t>
  </si>
  <si>
    <t>65652827300</t>
  </si>
  <si>
    <t>3S EMPREENDIMENTOS IMOBILIARIOS EIRELI EPP</t>
  </si>
  <si>
    <t>21134653000133</t>
  </si>
  <si>
    <t>LUIS GONZAGA TEIXEIRA</t>
  </si>
  <si>
    <t>8034508420</t>
  </si>
  <si>
    <t>MARIA IZETE ROCHA DE MATOS</t>
  </si>
  <si>
    <t>20941439372</t>
  </si>
  <si>
    <t>ZACARIAS BARROS CAVALCANTE</t>
  </si>
  <si>
    <t>81514034891</t>
  </si>
  <si>
    <t>339036 - 12 - 2126.99</t>
  </si>
  <si>
    <t>Lei n° 14.133/2021, Art. 75, II</t>
  </si>
  <si>
    <t>339039 - 14 - 2235.99</t>
  </si>
  <si>
    <t>CREDILINK INFORMAÇÕES DE CRÉDITO LTDA</t>
  </si>
  <si>
    <t>2581711000122</t>
  </si>
  <si>
    <t>Lei n° 14.133/2021, Art. 75, 8666/93,X</t>
  </si>
  <si>
    <t>ANA CLEIDE DA SILVA SANTOS DAMASCENO</t>
  </si>
  <si>
    <t>78214130387</t>
  </si>
  <si>
    <t>339039 - 14 - 2144.07</t>
  </si>
  <si>
    <t>CÉLIA DE AGUIAR PRADO</t>
  </si>
  <si>
    <t>18904432391</t>
  </si>
  <si>
    <t>Y T CONSTRUÇÕES EIRELI</t>
  </si>
  <si>
    <t>29417319000107</t>
  </si>
  <si>
    <t>ARY FONTENELE BATISTA</t>
  </si>
  <si>
    <t>49090674349</t>
  </si>
  <si>
    <t>A.R IMOBILIÁRIA LTDA</t>
  </si>
  <si>
    <t>44231385000173</t>
  </si>
  <si>
    <t>WJGV CONSTRUÇÕES E SERVIÇOS IMOBILIARIOS LTDA</t>
  </si>
  <si>
    <t>48444032000102</t>
  </si>
  <si>
    <t>LEI Nº 14.133/21, Art. 75, CONTRATO: 023/2022 E PROJETO FRMMP: 52/2023.</t>
  </si>
  <si>
    <t>339040 - 78 - 2488.02</t>
  </si>
  <si>
    <t>EMPRESA DE TECNOLOGIA DA INFORMACAO DO CEARA ETICE</t>
  </si>
  <si>
    <t>3773788000167</t>
  </si>
  <si>
    <t>339040 - 78 - 3079.05</t>
  </si>
  <si>
    <t>TECHBIZ FORENSE DIGITAL LTDA</t>
  </si>
  <si>
    <t>5757597000218</t>
  </si>
  <si>
    <t>LEI Nº 14.133/21 , ART. 75, CONTRATO: 032/2023 E PROJETO FRMMP Nº 052/2023.</t>
  </si>
  <si>
    <t>=HIPERLINK("https://www8.mpce.mp.br/Empenhos/150001/Objeto/32-2023.pdf";"DISPONIBILIZAÇÃO DE SOLUÇÃO TECNOLÓGICA NA MODALIDADE SOFTWARE COMO SERVIÇO (SAAS) PARA GESTÃO INTEGRADA DE ESTRATÉGIA, PORTFÓLIO, PROJETOS, TAREFAS, REUNIÕES INDICADORES E PROCESSOS. (LICENÇA/MÊS), REFERENTE AOS MESES DE JANEIRO, FEVEREIRO E MARÇO DE 2024, RELATIVO AO CONTRATO 032/2023 E PROJETO FRMMP Nº 025/2023.")</t>
  </si>
  <si>
    <t>339040 - 78 - 3078.04</t>
  </si>
  <si>
    <t>Lei n° 14.133/2021, Art. 75, Contrato nº 006/2017/PGJ.</t>
  </si>
  <si>
    <t>339039 - 14 - 2216.74</t>
  </si>
  <si>
    <t>=HIPERLINK("https://www8.mpce.mp.br/Empenhos/150001/Objeto/47-2019.pdf";"SERVIÇOS DE PERÍCIA E ASSESSORIA TÉCNICA ESPECIALIZADAS, ANÁLISES FÍSICO QUÍMICAS EM AMOSTRAS DE COMBUSTÍVEIS (GASOLINA, ÓLEO DIESEL E ETANOL), CONTRATO 047/2019, EMPENHO POR ESTIMATIVA REFERENTE AOS MESES DE FEV, MAR, ABR, MAI, JUN E JUL (PROPORCIONAL DE 16 DIAS) DE 2024.")</t>
  </si>
  <si>
    <t>339035 - 26 - 2347.01</t>
  </si>
  <si>
    <t>FUNDACAO DE APOIO A SERVICOS TECNICOS, ENSINO E FOMENTO A PESQUISAS - FUNDACAO ASTEF</t>
  </si>
  <si>
    <t>8918421000108</t>
  </si>
  <si>
    <t>Lei n° 14.133/2021, Art. 75_x000D_
CONTRATO 001/2022 - PROJETO 052/2023.</t>
  </si>
  <si>
    <t>=HIPERLINK("https://www8.mpce.mp.br/Empenhos/150001/Objeto/01-2022.pdf";"EMPENHO REFERENTE A DISPONIBILIZAÇÃO, ADEQUAÇÃO, AUTOMAÇÃO E USO DE SOLUÇÃO TECNOLÓGICA PARA RELACIONAMENTO COM O CIDADÃO E DIGITALIZAÇÃO DE SERVIÇOS PÚBLICOS (MODELO SAAS),  INCLUINDO SUPORTE TÉCNICO E TREINAMENTO, CONTRATO 001/2022 - PROJETO 052/2023, POR ESTIMATIVA, REFERENTE AOS MESES DE JAN, FEV E MAR/2024.")</t>
  </si>
  <si>
    <t>Lei n° 14.133/2021, Art. 75 - CONTRATO 028/2020</t>
  </si>
  <si>
    <t>GEOAMBIENTE SENSORIAMENTO REMOTO LTDA</t>
  </si>
  <si>
    <t>33757000181</t>
  </si>
  <si>
    <t>Lei n° 14.133/2021, Art. 75, Contrato 006/2020 e Projeto nº 052/2023.</t>
  </si>
  <si>
    <t>Lei n° 14.133/2021, Art. 75, INC. X</t>
  </si>
  <si>
    <t>Lei n 14.133/2021, Art. 75, Inc. X e Contrato 031/2017/PGJ.</t>
  </si>
  <si>
    <t>Lei n° 14.133/2021, Art. 74 - CONTRATO 009/2022 - PROJETO 52/2023</t>
  </si>
  <si>
    <t>339040 - 78 - 2498.13</t>
  </si>
  <si>
    <t xml:space="preserve"> GEMELO DO BRASIL S/A </t>
  </si>
  <si>
    <t>3888247000184</t>
  </si>
  <si>
    <t>Lei n° 14.133/2021, Art. 75 - DISPENSA X</t>
  </si>
  <si>
    <t>Lei n° 14.133/2021, Art. 75, Inc. X, Contrato 012/2017/PGJ.</t>
  </si>
  <si>
    <t>=HIPERLINK("https://www8.mpce.mp.br/Empenhos/150001/Objeto/12-2017.pdf";"EMPENHO DE ALUGUÉIS DOS MESES DE FEVEREIRO E  MARÇO DE 2024, REF AO IMÓVEL ONDE FUNCIONAM AS PROMOTORIAS DEJUSTIÇA DE JUAZEIRO DO NORTE, LOCALIZADO À RUA CATULO DA PAIXÃO CEARENSE, N° 135, BAIRRO TRIÂNGULO, JUAZEIRO DO NORTE-CE, CEP: 63.041-162 (EDIFÍCIO CENTRAL PARK COMERCIAL, 13º ANDAR, SALAS 1316 A 1317), CONF CONTRATO Nº 012/2017/PGJ.")</t>
  </si>
  <si>
    <t>Lei n° 14.133/2021, Art. 75 DISPENSA,X</t>
  </si>
  <si>
    <t>Lei n° 14.133/2021, Art. 75, X, Contrato n° 004/2020/PGJ,</t>
  </si>
  <si>
    <t>Lei n° 14.133/2021, Art. 75, X  e Contrato nº 012/2022/PGJ.</t>
  </si>
  <si>
    <t>Lei n° 14.133/2021, Art. 75, X e Contrato 041/2021/PGJ.</t>
  </si>
  <si>
    <t>Lei n° 14.133/2021, Art. 75, DISPENSA, X</t>
  </si>
  <si>
    <t>Lei n° 14.133/2021, Art. 75, x E Contrato Nº 022/2010/PGJ.</t>
  </si>
  <si>
    <t>Lei n° 14.133/2021, Art. 75, x e Contrato nº 026/2021/PGJ.</t>
  </si>
  <si>
    <t>Lei n° 14.133/2021, Art. 75, X e Contrato nº 028/2022/PGJ.</t>
  </si>
  <si>
    <t>Lei n° 14.133/2021, Art. 75, X  e Contrato nº 033/2022/PGJ.</t>
  </si>
  <si>
    <t>Lei n° 14.133/2021, Art. 74, Contrato 033/2023/PGJ</t>
  </si>
  <si>
    <t>Lei n° 14.133/2021, Art. 74, Contrato nº 044/2023/PGJ.</t>
  </si>
  <si>
    <t>Lei n° 14.133/2021, Art. 75, X, Contrato nº 026/2016/PGJ.</t>
  </si>
  <si>
    <t>Lei n° 14.133/2021, Art. 75, X e Contrato nº 036/2022/PGJ.</t>
  </si>
  <si>
    <t>Lei n° 14.133/2021, Art. 75, X e Contrato nº 0038/2021/PGJ.</t>
  </si>
  <si>
    <t>Lei n° 14.133/2021, Art. 74 - CONTRATO 056/2023</t>
  </si>
  <si>
    <t>LEI 14.133/2021, ART, 75</t>
  </si>
  <si>
    <t>Lei 8.666/93 Art.25 -I</t>
  </si>
  <si>
    <t>Lei n° 14.133/2021, Art. 75 - CONTRATO 008/2023</t>
  </si>
  <si>
    <t>Lei n° 14.133/2021, Art. 75, X e Contrato nº 084/2019/PGJ.</t>
  </si>
  <si>
    <t>Lei n° 14.133/2021, Art. 75, X e Contrato nº 008/2017/PGJ.</t>
  </si>
  <si>
    <t>Lei n° 14.133/2021, Art. 75, X, e Contrato nº 009/2016/PGJ.</t>
  </si>
  <si>
    <t>Lei n° 14.133/2021, Art. 75, X e Contrato 43/2013.</t>
  </si>
  <si>
    <t>Lei n° 14.133/2021, Art. 75, X e Contrato nº 051/2019/PGJ.</t>
  </si>
  <si>
    <t>Lei n° 14.133/2021, Art. 75, X  e Contrato 010/2022.</t>
  </si>
  <si>
    <t>Lei n° 14.133/2021, Art. 75, V  e Contrato nº 063/2019/PGJ.</t>
  </si>
  <si>
    <t>Lei n° 14.133/2021, Art. 75, V  e Contrato nº 061/2019/PGJ.</t>
  </si>
  <si>
    <t>Lei n° 14.133/2021, Art. 75, X  e Contrato nº 074/2019.</t>
  </si>
  <si>
    <t>Lei n° 14.133/2021, Art. 75, X  e Contrato nº 85/2019.</t>
  </si>
  <si>
    <t>Lei n° 14.133/2021, Art. 75, Lei nº 8666/93, art 24, XXII.</t>
  </si>
  <si>
    <t>EMPENHO DE SERVIÇOS DE ENERGIA ELÉTRICA EM BAIXA E ALTA TENSÃO À DIVERSAS UNIDADES MINISTERIAIS, REF. AOS MESES DE JANEIRO À MARÇO.</t>
  </si>
  <si>
    <t>339039 - 14 - 2183.43</t>
  </si>
  <si>
    <t>COMPANHIA ENERGETICA DO CEARA - ENEL</t>
  </si>
  <si>
    <t>7047251000170</t>
  </si>
  <si>
    <t>Lei n° 14.133/2021, Art. 75, X e Contrato nº 034/2021/PGJ.</t>
  </si>
  <si>
    <t>Lei n° 14.133/2021, Art. 75, X  e Contrato nº 026/2017/PGJ.</t>
  </si>
  <si>
    <t>Lei n° 14.133/2021, Art. 75, X  e Contrato nº 038/2022.</t>
  </si>
  <si>
    <t>Lei n° 14.133/2021, Art. 74 e Contrato nº 036/2023/PGJ.</t>
  </si>
  <si>
    <t>Lei n° 14.133/2021, Art. 74  e Contrato nº 041/2023/PGJ.</t>
  </si>
  <si>
    <t>Lei n° 14.133/2021, Art. 75, X  e Contrato nº 024/2022/PGJ.</t>
  </si>
  <si>
    <t xml:space="preserve">Lei n° 14.133/2021, Art. 75, Inc. X_x000D_
</t>
  </si>
  <si>
    <t>Lei n° 14.133/2021, Art. 75 - CONTRATO 016/2017</t>
  </si>
  <si>
    <t>339039 - 14 - 2141.04</t>
  </si>
  <si>
    <t>Lei n° 14.133/2021, Art. 75, Contrato nº 014/2017/PGJ.</t>
  </si>
  <si>
    <t>Lei 8.666/1993 Art.24 ,x</t>
  </si>
  <si>
    <t>Lei 14.133/2021, inc. IX.</t>
  </si>
  <si>
    <t>SERVIÇOS TÉCNICOS ESPECIALIZADOS SOB DEMANDA, PARA ADEQUAÇÃO E AUTOMAÇÃO DE SERVIÇOS PÚBLICOS COM O USO DA SOLUÇÃO TECNOLÓGICA, CONF. CONTRATO 058/2023 E PROJETO 052/2023/FRMMP, REF. 2024, POR ESTIMATIVA.</t>
  </si>
  <si>
    <t xml:space="preserve">Lei 14.133/2021, art. 74, V, conf. Contrato 054/2023. _x000D_
</t>
  </si>
  <si>
    <t>DISPENSA ELETRÔNICA 027/2023. Lei 14.133/2021, 75, II.</t>
  </si>
  <si>
    <t>AQUISIÇÃO DE 20 (VINTE) DESUMIDIFICADORES DE AR, CONF. DISPENSA ELETRÔNICA 027/2023 E ORDEM DE COMPRA 017/2024/SEAD.</t>
  </si>
  <si>
    <t>449052 - 2 - 1960.62</t>
  </si>
  <si>
    <t>IMPERIO ROZERA LTDA</t>
  </si>
  <si>
    <t>48000949000118</t>
  </si>
  <si>
    <t>DISPENSA ELETRÔNICA 001/2024 (DOMP 1692, 08.02.2024). Lei 14.133/2021, art. 75, II.</t>
  </si>
  <si>
    <t>AQUISIÇÃO DE 14 (QUATORZE) CLAVICULÁRIOS, CONF. DISPENSA ELETRÔNICA 001/2024 E ORDEM DE COMPRA 025/2024/SEAD.</t>
  </si>
  <si>
    <t>449052 - 2 - 1940.42</t>
  </si>
  <si>
    <t>VICTOR MENDES MORENO SIMOES</t>
  </si>
  <si>
    <t>48441477000139</t>
  </si>
  <si>
    <t>AQUISIÇÃO DE 04 (QUATRO) CLAVICULÁRIOS, CONF. DISPENSA ELETRÔNICA 001/2024 E ORDEM DE COMPRA 026/2024/SEAD.</t>
  </si>
  <si>
    <t>SANTA MARIA COMÉRCIO DE BRINQUEDOS E MAT ESCOLARES EIRELI</t>
  </si>
  <si>
    <t>5077676000105</t>
  </si>
  <si>
    <t>FORNECIMENTO DE ENERGIA ELÉTRICA EM ALTA TENSÃO À UNIDADE MINISTERIAL DO DECON - DISPENSA DE LICITAÇÃO, POR ESTIMATIVA, REFERENTE AOS MESES DE JAN, FEV E MAR/2024.</t>
  </si>
  <si>
    <t>Lei n° 14.133/2021, Art. 75 e Contrato nº 016/2017/PGJ.</t>
  </si>
  <si>
    <t>Lei n° 14.133/2021, Art. 75 e Contrato 016/2017/PGJ.</t>
  </si>
  <si>
    <t>=HIPERLINK("https://www8.mpce.mp.br/Empenhos/150001/Objeto/16-2017.pdf";"EMPENHO DE TMRSU REFERENTE A 2ª PARCELA DE 2024, REF.  A TAXA DE LIXO AO IMÓVEL, ONDE FUNCIONAM AS PROMOTORIAS DE JUSTIÇA CRIMINAIS, LOCALIZADO À AVENIDA CORONEL JOSÉ PHILOMENO, N° 222, BAIRRO ENGENHEIRO LUCIANO CAVALCANTE, FORTALEZA-CE, CONF. CONTRATO Nº 016/2017/PGJ.")</t>
  </si>
  <si>
    <t>Lei n° 14.133/2021, Art. 75 E Contrato nº 026/2016/CPL/PGJ.</t>
  </si>
  <si>
    <t>Lei n° 14.133/2021, Art. 75 e Contrato nº 074/2019/PGJ.</t>
  </si>
  <si>
    <t>Lei n° 14.133/2021, Art. 75 e Contrato nº 014/2017/PGJ.</t>
  </si>
  <si>
    <t>Lei n° 14.133/2021, Art. 75 e Contrato nº 002/2023/PGJ.</t>
  </si>
  <si>
    <t xml:space="preserve">PGA 09.2023.00029391-5. Lei 14.133/2021, art. 74, V, conf. Contrato 054/2023. _x000D_
</t>
  </si>
  <si>
    <t>Lei n° 14.133/2021, Art. 75 e Contrato nº 002/2004/PGJ.</t>
  </si>
  <si>
    <t>Lei 8.666/93, art. 25, II, comb. c/ art. 13, II, conf. Contrato 047/2019.</t>
  </si>
  <si>
    <t>Lei 8.666/93, art. 25, II, comb. c/ art. 13, II, conf. Contrato 047/2019</t>
  </si>
  <si>
    <t>Lei n° 14.133/2021, Art. 75 e Contrato nº 033/2021/PGJ.</t>
  </si>
  <si>
    <t>Lei 8.666/93, art. 24, inc. X.</t>
  </si>
  <si>
    <t>Lei n° 14.133/2021, Art. 75 e Contrato nº 038/2021/PGJ.</t>
  </si>
  <si>
    <t>Lei n° 14.133/2021, Art. 75 e Contrato nº 010/2022/PGJ.</t>
  </si>
  <si>
    <t>Lei 8.666/93 Art.25 -   inexigibilidade,I</t>
  </si>
  <si>
    <t>=HIPERLINK("https://www8.mpce.mp.br/Empenhos/150001/Objeto/07-2023.pdf";"LICENÇAS DE USO AO ACERVO DA BIBLIOTECA DIGITAL " MINHA BIBLIOTECA" POR ESTIMATIVA, PARA O EXERCÍCIO DE 2024.2")</t>
  </si>
  <si>
    <t>339039 - 14 - 2207.65</t>
  </si>
  <si>
    <t>MINHA BIBLIOTECA LTDA</t>
  </si>
  <si>
    <t>13183749000163</t>
  </si>
  <si>
    <t>Lei 8.666/93, art. 24, inc. X., conf. Contrato 048/2019.</t>
  </si>
  <si>
    <t>Lei n° 14.133/2021, Art. 75 e Contrato nº 016/2022/PGJ.</t>
  </si>
  <si>
    <t>Lei n° 14.133/2021, Art. 74 - CONTRATO 036/2021</t>
  </si>
  <si>
    <t>EMPENHO DO VALOR REFERENTE A ANUIDADE DE ÓRGÃOS FILIADOS A ABEC BRASIL, VISANDO PRESTAÇÃO DE SERVIÇOS DE DISPONIBILIZAÇÃO DE IDENTIFICADORES DIGITAIS DE DOCUMENTOS, CONFORME CONTRATO Nº 36/2021 - POR ESTIMATIVA.</t>
  </si>
  <si>
    <t>339039 - 14 - 2143.06</t>
  </si>
  <si>
    <t>ASSOCIACAO BRASILEIRA DE EDITORES CIENTIFICOS</t>
  </si>
  <si>
    <t>29261229000161</t>
  </si>
  <si>
    <t>Lei n° 14.133/2021, Art. 75  e Contrato nº 017/2022/PGJ.</t>
  </si>
  <si>
    <t>Lei n° 14.133/2021, Art. 75 e Contrato nº 018/2020/PGJ.</t>
  </si>
  <si>
    <t>Lei n° 14.133/2021, Art. 75 e Contrato nº 029/2022/PGJ.</t>
  </si>
  <si>
    <t>Lei n° 14.133/2021, Art. 75 e Contrato nº 008/2023/PGJ.</t>
  </si>
  <si>
    <t>Lei n° 14.133/2021, Art. 75  e Contrato nº 010/2023/PGJ.</t>
  </si>
  <si>
    <t>Lei n° 14.133/2021, Art. 75 e Contrato nº  024/2023PGJ.</t>
  </si>
  <si>
    <t>Lei 8.666/1993 Art.24 , Lei nº 14.133/21 e Contrato nº 011/2023/PGJ.</t>
  </si>
  <si>
    <t>Lei n° 14.133/2021, Art. 74  e Contrato nº 031/2018.</t>
  </si>
  <si>
    <t>Lei n° 14.133/2021, Art. 75, II, 1º Termo de Apostilamento ao Contato n. 054/2022.</t>
  </si>
  <si>
    <t>Lei n° 14.133/2021, Art. 75  e Contrato nº 039/2013/CPL/PGJ.</t>
  </si>
  <si>
    <t>Lei n° 14.133/2021, Art. 75  e Contrato nº 043/2013/CPL/PGJ.</t>
  </si>
  <si>
    <t>Lei n° 14.133/2021, Art. 75 e Contrato nº 008/2017/PGJ.</t>
  </si>
  <si>
    <t>Lei n° 14.133/2021, Art. 75 e Contrato nº 026/2017/PGJ.</t>
  </si>
  <si>
    <t xml:space="preserve">PGA 09.2023.00021416-3. Lei 14.133/2021, conf. Contrato 056/2023._x000D_
</t>
  </si>
  <si>
    <t>Lei n° 14.133/2021, Art. 75 e Contrato nº 051/2019/PGJ.</t>
  </si>
  <si>
    <t>PGA 09.2022.00037184-7/SAJ-MPCE. Lei 14.133/2021, art. 74, V, conf. Contrato 044/2023.</t>
  </si>
  <si>
    <t>PGA 09.2021.00016679-0. Lei 8.666/93, conf. Contrato 024/2022.</t>
  </si>
  <si>
    <t>Lei n° 14.133/2021, Art. 75 e Contrato nº 061/2019/PGJ.</t>
  </si>
  <si>
    <t>Lei n° 14.133/2021, Art. 75 e Contrato nº 025/2021/PGJ.</t>
  </si>
  <si>
    <t>Lei n° 14.133/2021, Art. 75 e Contrato nº 034/2021/PGJ.</t>
  </si>
  <si>
    <t>Lei n° 14.133/2021, Art. 75  e Contrato nº 028/2022/PGJ.</t>
  </si>
  <si>
    <t>Lei n° 14.133/2021, Art. 75 e Contrato nº 036/2022/PGJ.</t>
  </si>
  <si>
    <t>Lei n° 14.133/2021, Art. 75 e Contrato nº 038/2022/PGJ.</t>
  </si>
  <si>
    <t>Lei n° 14.133/2021, Art. 74 e Contrato nº 033/2023/PGJ.</t>
  </si>
  <si>
    <t>Lei n° 14.133/2021, Art. 74 e Contrato nº 041/2023/PGJ.</t>
  </si>
  <si>
    <t>DOE 1698, 20.02.2024, p. 03. Lei 14.133/2021, art. 74, III, “f”.</t>
  </si>
  <si>
    <t>CURSO IN COMPANY COM O TEMA ESCRITA JURÍDICA COM O CHATGPT: TEORIA E PRÁTICA, CONF. TERMO DE CONTRATAÇÃO DIRETA (DOE 1698, 20.02.2024, P. 03) E ORDEM DE SERVIÇO SN/ESMP.</t>
  </si>
  <si>
    <t>339039 - 14 - 2151.14</t>
  </si>
  <si>
    <t>ML EMPREENDIMENTOS E CONSULTORIA EDUCACIONAL LTDA</t>
  </si>
  <si>
    <t>51871404000191</t>
  </si>
  <si>
    <t>PGA: 09.2023.00039691-0/SAJ-MPCE. Lei 14.133/2021, art. 74, III, “f”, conf. Contrato 019/2024.</t>
  </si>
  <si>
    <t>AOVS SISTEMAS DE INFORMATICA LTDA</t>
  </si>
  <si>
    <t>5555382000133</t>
  </si>
  <si>
    <t>Lei n° 14.133/2021, Art. 75, X e Contrato nº 001/2015.</t>
  </si>
  <si>
    <t>Lei n° 14.133/2021, Art. 75, E e Contrato nº 026/2017.</t>
  </si>
  <si>
    <t>Lei 8.666/93, art. 24, inc. X, conf. Contrato 039/2019 (EFL, 27.03.2024).</t>
  </si>
  <si>
    <t>=HIPERLINK("https://www8.mpce.mp.br/Empenhos/150001/Objeto/39-2019.pdf";"REEMBOLSO DA "TAXA DE LIXO" - TMRSU DO IMÓVEL ONDE FUNCIONA A SEDE DAS PROMOTORIAS DE JUSTIÇA DA INFÂNCIA E JUVENTUDE, CONF. CONTRATO 039/2019, REF. 1ª E 2ª PARCELAS, BEM COMO 5 DIAS PROPORCIONAIS DA 3ª PARCELA DE 2024.")</t>
  </si>
  <si>
    <t>Lei nº 11.788/2008. Lei 8.666/93, art. 24, inc. II.</t>
  </si>
  <si>
    <t>Lei n° 14.133/2021, Art. 74,I E II</t>
  </si>
  <si>
    <t>SERVIÇOS DE TREINAMENTO IN COMPANY, TEMA"FAZENDO VÍDEO COM O CELULAR" VISANDO CAPACITAÇÃO DE 15 MEMBROS, SERVIDORES OU COLABORADORES, NO AMBITO DO MP-CE.CARGA HORÁRIA DE 20H/AULA. PERÍDO DE 27,28E 29 DE MARÇO DE 2024.</t>
  </si>
  <si>
    <t>TRAVESSA DA IMAGEM ATELIER MULTIMIDIA LTDA</t>
  </si>
  <si>
    <t>12925895000154</t>
  </si>
  <si>
    <t>Lei n° 14.133/2021, Art. 75, X e Contrato nº026/2016/PGJ.</t>
  </si>
  <si>
    <t>Lei n° 14.133/2021, Art. 74, 4º Aditivo ao Contrato nº 002/2021/PGJ e Projeto nº 019/2023.</t>
  </si>
  <si>
    <t>Lei 8.666/93, art. 24, inc. X, conf. Contrato 039/2019.</t>
  </si>
  <si>
    <t>Lei n° 14.133/2021, Art. 75 e Contrato nº 012/2017.</t>
  </si>
  <si>
    <t>=HIPERLINK("https://www8.mpce.mp.br/Empenhos/150001/Objeto/12-2017.pdf";"EMPENHO DO VALOR PROPORCIONAL DE IPTU DO IMÓVEL ONDE FUNCIONAVA AS PROMOTORIAS DE JUSTIÇA DE JUAZEIRO DO NORTE , REFERENTE A 1ª, 2ª E 3ª PARCELAS DE 2024 DA COTA ÚNICA, EM RAZÃO DA ENTREGA DO IMÓVEL AO LOCADOR EM 1º DE ABRIL, CONF.  CONTRATO Nº 012/2017/PGJ.")</t>
  </si>
  <si>
    <t>339093 - 25 - 2333.27</t>
  </si>
  <si>
    <t>Lei n° 14.133/2021, Art. 75, Contrato nº 001/2022 e Projeto nº 52/2023.</t>
  </si>
  <si>
    <t>Lei n° 14.133/2021, Art. 75, CONTRATO Nº 006/2020 E PROJETO Nº 052/2023.</t>
  </si>
  <si>
    <t>Lei n° 14.133/2021, Art. 75, CONTRATO Nº 023/2022 E PROJETO Nº 52/2023.</t>
  </si>
  <si>
    <t>Lei n° 14.133/2021, Art. 75, Contrato nº 032/2023 e Projeto nº 052/2023.</t>
  </si>
  <si>
    <t>=HIPERLINK("https://www8.mpce.mp.br/Empenhos/150001/Objeto/32-2023.pdf";"DISPONIBILIZAÇÃO DE SOLUÇÃO TECNOLÓGICA NA MODALIDADE SOFTWARE COMO SERVIÇO (SAAS) PARA GESTÃO INTEGRADA DE ESTRATÉGIA, PORTFÓLIO, PROJETOS, TAREFAS, REUNIÕES INDICADORES E PROCESSOS, REF. AO MÊS DE ABRIL DE 2023, CONF. CONTRATO Nº 032/2023 E PROJETO Nº 052/2023.")</t>
  </si>
  <si>
    <t>Lei n° 14.133/2021, Art. 74, Contrato nº 015/2023 e Projeto nº 023/2023.</t>
  </si>
  <si>
    <t>=HIPERLINK("https://www8.mpce.mp.br/Empenhos/150001/Objeto/15-2023.pdf";"EXECUTIVE PROGRAMS LEADERSHIP TEAM PLUS LEADER E TEAM PLUS IT EXECUTIVE _ LICENÇA DE ATUAÇÃO ESTRATÉGICA DE APOIO E ACONSELHAMENTO PARA EXECUTIVO DE TI, P/ USUÁRIO EXECUTIVO TITULAR, INCLUINDO ACESSO A UM CONSELHEIRO EXECUTIVO, ACESSO A ANALISTAS E A BASE DE CONHECIMENTO DESTINADAS AO NÍVEL DE ATUAÇÃO GERENCIAL, CONF. CONTRATO Nº 015/2023 E PROJETO Nº 028/2023, REF. AO MÊS DE ABRIL.")</t>
  </si>
  <si>
    <t>PGA 09.2020.00009688-3. Lei 8.666/1993, art.24, II, conf. Contrato 025/2020.</t>
  </si>
  <si>
    <t>Lei n° 14.133/2021, Art. 74, Contrato nº 009/2022 e Projeto nº 52/2023.</t>
  </si>
  <si>
    <t>Lei n° 14.133/2021, Art. 75, Contrato nº 016/2017/PGJ.</t>
  </si>
  <si>
    <t>Lei n° 14.133/2021, Art. 74, Contrato nº 031/2018 e Projeto nº 52/2023.</t>
  </si>
  <si>
    <t>Lei n° 14.133/2021, Art. 74, Contrato nº 31/2018 e Projeto nº 52/2023.</t>
  </si>
  <si>
    <t>Lei n° 14.133/2021, Art. 74, Contrato nº 059/2023 e Projeto nº 065/2023.</t>
  </si>
  <si>
    <t>Lei n° 14.133/2021, Art. 75 e Contrato_x000D_
nº 010/2022/PGJ.</t>
  </si>
  <si>
    <t>EMPENHO DO ALUGUEL DO MÊS DE ABRIL DE 2024, DO IMÓVEL ONDE FUNCIONAM AS PROMOTORIAS DE JUSTIÇA DA COMARCA DE ICÓ, NOS TERMOS DO CONTRATO Nº 010/2022/PGJ.</t>
  </si>
  <si>
    <t>IMOBILIARIA LUIS GONZAGA TEIXEIRA LTDA</t>
  </si>
  <si>
    <t>53820857000114</t>
  </si>
  <si>
    <t>PGA 09.2021.00024455-0. Lei 8.666/93, art. 24, X, conf. Contrato 010/2022 (EFL, 10.04.2024).</t>
  </si>
  <si>
    <t>Contrato 036/2021.</t>
  </si>
  <si>
    <t>CAMARA BRASILEIRA DO LIVRO</t>
  </si>
  <si>
    <t>60792942000181</t>
  </si>
  <si>
    <t>Lei 8.666/93, art. 24, II, conf. Contrato 006/2021.</t>
  </si>
  <si>
    <t>339039 - 14 - 2173.35</t>
  </si>
  <si>
    <t xml:space="preserve">LEPIDUS TECNOLOGIA LTDA - ME </t>
  </si>
  <si>
    <t>12967719000185</t>
  </si>
  <si>
    <t>DOMP 1706, 01.03.2024, Lei 14.133/2021, art. 74, III, alínea “f”.</t>
  </si>
  <si>
    <t>PALESTRA IN COMPANY FORMAÇÃO CONTINUADA EM INTELIGÊNCIA ARTIFICIAL GENERATIVA - AI0240108, A REALIZAR-SE NO DIA 08/03/2024, COM CARGA HORÁRIA DE 04H/A, PARA ATÉ 300 PESSOAS, CONF. TERMO DE CONTRATAÇÃO DIRETA PUB. DOMP 1706, 01.03.2024, E ORDEM DE SERVIÇO SN/ESMP.</t>
  </si>
  <si>
    <t>ÁRTÉNA SABER ON-LINE LTDA</t>
  </si>
  <si>
    <t>36418009000164</t>
  </si>
  <si>
    <t>DISPENSA	003/2024 (DOMP 1711, 08.03.202). Lei 14.133/2021, art. 75, II..</t>
  </si>
  <si>
    <t>REALIZAÇÃO DO EVENTO SMART - MP, A SER REALIZADO EM JUAZEIRO DO NORTE-CE, NOS DIAS 14 E 15/03.2024, INCLUINDO LOCAÇÃO DE ESPAÇO, COFFEE BREAK E SERVIÇO DE SALA, CONF. DISPENSA DE LICITAÇÃO 003/2024 E MEMORANDO 025/2024/ASCER/MPCE.</t>
  </si>
  <si>
    <t>DJ- HOTELARIA S.A</t>
  </si>
  <si>
    <t>4566342000124</t>
  </si>
  <si>
    <t>Lei 14.133/2021, art. 74, III, alínea “f”, conf. Termo de Deferimento da Contratação Direta (DOMP 1712, 11.03.2024).</t>
  </si>
  <si>
    <t>INSCRIÇÃO DE 2 (DOIS) SERVIDORES DO MPCE NO CURSO DEPARTAMENTO PESSOAL NA ADMINISTRAÇÃO PÚBLICA, COM CARGA HORÁRIA DE 21 H/A, A SER REALIZADO EM SÃO PAULO-SP, NO PERÍODO DE 13 A 15.05.2024, POR MEIO DE INEXIGIBILIDADE DE LICITAÇÃO.SERVIDORES CONTEMPLADOS:LUIZ OTÁVIO RODRIGUES DE FREITAS (MAT. 218323-1-6) E JOSÉ ELVISNEY MOURA BARROSO (MAT. 168229-1-4), AMBOS LOTADOS NO NÚCLEO DA FOLHA DE PAGAMENTOS.</t>
  </si>
  <si>
    <t>META CURSOS E TREINAMENTOS LTDA</t>
  </si>
  <si>
    <t>11517150000193</t>
  </si>
  <si>
    <t xml:space="preserve">DISPENSA ELETRÔNICA 002/2024 (DOE 1715, 14.03.2024). Lei 14.133/2021, art. 75, II, conf Aviso de Contratação Direta 90002/2024 (PGA 09.2023.00040349-3/SAJ-MPCE, fls. 283)._x000D_
</t>
  </si>
  <si>
    <t>CONFECÇÃO DE LETREIRO ACRÍLICO RECORTADO A LASER, CONF. DISPENSA ELETRÔNICA 002/2024 E OS 002/2024/SEAD.</t>
  </si>
  <si>
    <t>339030 - 1 - 1902.44</t>
  </si>
  <si>
    <t>DAYANE DO COSMO MARTINS</t>
  </si>
  <si>
    <t>51739136000159</t>
  </si>
  <si>
    <t>PGA 09.2024.00002623-6. Lei 14.133/2021, art. 74, inc. I, conf. Contrato 018/2024.</t>
  </si>
  <si>
    <t>=HIPERLINK("https://www8.mpce.mp.br/Empenhos/150001/Objeto/18-2024.pdf";"FORNECIMENTO DE "VALES-TRANSPORTES" URBANOS E METROPOLITANOS, EM FAVOR DE 08 (OITO) SERVIDORES DESTE MPCE, CONF. CONTRATO 018/2024, REF. ABR A DEZ/2024, POR ESTIMATIVA.SERVIDORES CONTEMPLADOS:1. ELCIANE NARCÍSIO PINHEIRO;2. FRANCISCO ÍCARO LOPES DA SILVA;3. ISRAEL ALENCAR DE ANDRADE;4. JOSÉ ANDRÉ BARRETO JÚNIOR;5. JULIANA RIBEIRO LINS;6. KLAYLTON DA SILVA LIMA;7. LORENA SARAIVA SILVA;8. WILLIA SOARES LOPES.")</t>
  </si>
  <si>
    <t>339039 - 14 - 2214.72</t>
  </si>
  <si>
    <t>SINDICATO DAS EMPRESAS DE TRANSPORTES   DE PASSAGEIROS DO ESTADO DO CEARA</t>
  </si>
  <si>
    <t>7341423000114</t>
  </si>
  <si>
    <t>FORNECIMENTO DE ÁGUA PARA A PROMOTORIA DE JUSTIÇA DE BREJO SANTO, REF. ABR, MAI E JUN/2024, POR ESTIMATIVA.</t>
  </si>
  <si>
    <t>FORNECIMENTO DE ÁGUA PARA A PROMOTORIA DE JUSTIÇA DE CANINDÉ, REF. ABR, MAI E JUN/2024, POR ESTIMATIVA.</t>
  </si>
  <si>
    <t>FORNECIMENTO DE ÁGUA PARA A PROMOTORIA DE JUSTIÇA DO CRATO, REF. ABR, MAI E JUN/2024, POR ESTIMATIVA.</t>
  </si>
  <si>
    <t>FORNECIMENTO DE ÁGUA PARA A PROMOTORIA DE JUSTIÇA DE GRANJA-CE, REF. ABR, MAI E JUN/2024, POR ESTIMATIVA.</t>
  </si>
  <si>
    <t>Lei 8.666/93, art. 25, caput.</t>
  </si>
  <si>
    <t>FORNECIMENTO DE ÁGUA PARA A PROMOTORIA DE JUSTIÇA DE ICÓ-CE, REF. ABR, MAI E JUN/2024, POR ESTIMATIVA.</t>
  </si>
  <si>
    <t>FORNECIMENTO DE ÁGUA DO IMÓVEL ONDE FUNCIONA A PROMOTORIA DE JUSTIÇA DE IGUATU, REF. ABR, MAI E JUN/2024, POR ESTIMATIVA.</t>
  </si>
  <si>
    <t>FORNECIMENTO DE ÁGUA- TAXA DE ÁGUA PARA AS PROMOTORIAS DE JUSTIÇA DE ITAPAJÉ, POR ESTIMATIVA, REF. AOS MESES DE ABRIL, MAIO E JUNHO DE 2024.</t>
  </si>
  <si>
    <t>Lei n° 14.133/2021, Art. 74.</t>
  </si>
  <si>
    <t>FORNECIMENTO DE ÁGUA- TAXA DE ÁGUA, PARA AS PROMOTORIAS DE JUSTIÇA DE JAGUARIBE,  REF. AOS MESES DE ABRIL, MAIO E JUNHO DE 2024, POR ESTIMATIVA.</t>
  </si>
  <si>
    <t>FORNECIMENTO DE ÁGUA- TAXA DE ÁGUA PARA AS PROMOTORIAS DE JARDIM, REF. AOS MESES DE ABRIL, MAIO E JUNHO DE 2024.</t>
  </si>
  <si>
    <t>FORNECIMENTO DE ÁGUA- TAXA DE ÁGUA PARA AS PROMOTORIAS DE JUCÁS, REF. AOS MESES DE ABRIL, MAIO E JUNHO DE 2024.</t>
  </si>
  <si>
    <t>FORNECIMENTO DE ÁGUA- TAXA DE ÁGUA PARA AS PROMOTORIAS DE LIMOEIRO DO NORTE, REF. AOS MESES DE ABRIL, MAIO E JUNHO DE 2024.</t>
  </si>
  <si>
    <t>FORNECIMENTO DE ÁGUA- TAXA DE ÁGUA PARA AS PROMOTORIAS DE MORADA NOVA, REF. AOS MESES DE ABRIL, MAIO E JUNHO DE 2024.</t>
  </si>
  <si>
    <t>FORNECIMENTO DE ÁGUA- TAXA DE ÁGUA PARA AS PROMOTORIAS DE QUIXERAMOBIM, REF. AOS MESES DE ABRIL, MAIO E JUNHO DE 2024.</t>
  </si>
  <si>
    <t>FORNECIMENTO DE ÁGUA- TAXA DE ÁGUA PARA AS PROMOTORIAS DE SOBRAL, REF. AOS MESES DE ABRIL, MAIO E JUNHO DE 2024.</t>
  </si>
  <si>
    <t>FORNECIMENTO DE ÁGUA- TAXA DE ÁGUA PARA AS PROMOTORIAS DE SOLONÓPOLE, REF. AOS MESES DE ABRIL, MAIO E JUNHO DE 2024.</t>
  </si>
  <si>
    <t>FORNECIMENTO DE ÁGUA RELATIVO AO MÊS DE ABRIL DE  2024 PARA USO DESSE MINISTÉRIO PÚBLICO DO ESTADO DO CEARÁ.</t>
  </si>
  <si>
    <t>Lei n° 14.133/2021, Art. 75 E CONTRATO Nº 035/2018.</t>
  </si>
  <si>
    <t>DISPENSA	007/2024. Lei 14.133/2021, art. 75, II, conf. Termo de Deferimento da Contratação Direta, DOMP, 1728, 08.04.2024 (EFL, 11.04.2024).</t>
  </si>
  <si>
    <t>LOCAÇÃO DE AUDITÓRIO COM ASSENTOS ACOLCHOADOS COM CAPACIDADE PARA 90 (NOVENTA) PESSOAS, PARA REALIZAÇÃO DO EVENTO SMART MP NA CIDADE DE SOBRAL-CE, NO DIA 11.04.2024, CONF. DISPENSA DE LICITAÇÃO Nº 007/2024 E ORDEM DE SERVIÇO 035/2024/ASCER.</t>
  </si>
  <si>
    <t>339039 - 14 - 2225.85</t>
  </si>
  <si>
    <t xml:space="preserve">SOBRALNET SERVICOS E TELECOMUNICACOES LTDA-ME </t>
  </si>
  <si>
    <t>1300487000190</t>
  </si>
  <si>
    <t xml:space="preserve">PGA 09.2023.00028746-8._x000D_
Lei 14.133/2021, art. 75, I, conf. Contrato 058/2023 (EFL, 23.04.2024)_x000D_
</t>
  </si>
  <si>
    <t>Lei 8.666/93, art. 24, X._x000D_
Proc. 28264/2016-4, conf. Contrato 026/2016 (pub. DJ 1505, 18.08.206, p. 48) (EFL, 24.04.2024).</t>
  </si>
  <si>
    <t>Lei 8.666/93, art. 24, inc. X, conf. Contrato 002/2004.</t>
  </si>
  <si>
    <t xml:space="preserve">Proc.: 09.2022.00019787-6._x000D_
Lei 8.666/93, art. 24, X, conf. Contrato 002/2023 (EFL, 25.04.2024)._x000D_
</t>
  </si>
  <si>
    <t>Proc.: 09.2021.00007924-4_x000D_
Lei 8.666/93, art. 24, X, conf. Contrato 027/2021 (EFL, 25.04.2024).</t>
  </si>
  <si>
    <t>Proc.: 09.2021.00007924-4._x000D_
Lei 8.666/93, art. 24, X, conf. Contrato 027/2021 (EFL, 25.04.2024).</t>
  </si>
  <si>
    <t>Proc.: 09.2021.00021973-9_x000D_
Lei 8.666/93, art. 24, X, conf. Contrato 045/2021 (EFL, 25.04.2024).</t>
  </si>
  <si>
    <t>Proc.: 45030/2017-6._x000D_
Lei 8.666/93, art. 24, X, conf. Contrato 074/2019 (EFL, 25.04.2024).</t>
  </si>
  <si>
    <t>Proc.: 28877/2017-1._x000D_
Lei 8.666/93, art. 24, X, conf. Contrato 024/2019 (EFL, 25.04,2024).</t>
  </si>
  <si>
    <t>Lei 8.666/1993 Art.24, X, conf. Contrato 084/2019.</t>
  </si>
  <si>
    <t xml:space="preserve">Lei 14.133/2021, art. 74, III, “f”, conf. TDCD pub. DOMP 1736, 18.04.2024 (EFL, 24.04.2024)._x000D_
</t>
  </si>
  <si>
    <t xml:space="preserve">CURSO IN COMPANY, NA MODALIDADE EAD, COM O TEMA ESCRITA JURÍDICA COM O CHATGPT: TEORIA E PRÁTICA - TURMA II, CONF. TERMO DE CONTRATAÇÃO DIRETA (DOMP 1736, 18.04.2024) E ORDEM DE SERVIÇO SN/ESMP, REF. MAI E JUN/2024. </t>
  </si>
  <si>
    <t xml:space="preserve">PGA 09.2023.00024123-8._x000D_
Lei 14.133/2021, art. 75, II, conf. Contrato 029/2024 (DOMP 1731, 11.04.2024, pp. 01-02) (EFL, 24.04.2024). _x000D_
</t>
  </si>
  <si>
    <t>GREGORI FIORINI PRODUÇÕES AUDIOVISUAIS E ARTÍSTICAS LTDA</t>
  </si>
  <si>
    <t>41789816000123</t>
  </si>
  <si>
    <t>Lei n° 14.133/2021, art. 72,  art. 74, Inciso III, alínea "f".</t>
  </si>
  <si>
    <t>CURSO MASTERCLASS DE FORMAÇÃO DE PREÇOS NAS CONTRATAÇÕES PÚBLICAS". DATA: 06/05 E 07/05. HORÁRIO: 8H ÁS 17:30H. CARGA HORÁRIA 16H, COM EDUARDO DOS SANTOS GUIMARÃES. ** PARTICIPANTE: FRANCISCO DYEGO VIEIRA RABELO  TÉCNICO MINISTERIAL  MATRÍCULA 216096-1-7.</t>
  </si>
  <si>
    <t>INSTITUTO NEGOCIOS PUBLICOS DO BRASIL - ESTUDOS E PESQUISAS NA ADMNIISTRACAO PUBLICA - INP - LTDA</t>
  </si>
  <si>
    <t>10498974000109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</si>
</sst>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9"/>
      <name val="Arial"/>
      <family val="2"/>
    </font>
    <font>
      <u/>
      <sz val="11"/>
      <color theme="10"/>
      <name val="Calibri"/>
      <family val="2"/>
      <scheme val="minor"/>
    </font>
    <font>
      <sz val="10"/>
      <color rgb="FF000000"/>
      <name val="Arial"/>
      <family val="2"/>
      <charset val="1"/>
    </font>
    <font>
      <sz val="8"/>
      <name val="Arial"/>
      <family val="2"/>
    </font>
    <font>
      <u/>
      <sz val="8"/>
      <color theme="10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</patternFill>
    </fill>
    <fill>
      <patternFill patternType="solid">
        <fgColor rgb="FFFFFFFF"/>
        <bgColor rgb="FFFFFFCC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vertical="center" wrapText="1" justifyLastLine="1"/>
    </xf>
    <xf numFmtId="0" fontId="3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 wrapText="1" justifyLastLine="1"/>
    </xf>
    <xf numFmtId="0" fontId="5" fillId="0" borderId="1" xfId="1" applyFont="1" applyBorder="1" applyAlignment="1">
      <alignment horizontal="center" vertical="center" wrapText="1" justifyLastLine="1"/>
    </xf>
    <xf numFmtId="14" fontId="4" fillId="0" borderId="1" xfId="0" applyNumberFormat="1" applyFont="1" applyBorder="1" applyAlignment="1">
      <alignment horizontal="center" vertical="center" wrapText="1" justifyLastLine="1"/>
    </xf>
    <xf numFmtId="0" fontId="7" fillId="0" borderId="1" xfId="1" applyFont="1" applyBorder="1" applyAlignment="1" applyProtection="1">
      <alignment horizontal="center" vertical="center"/>
    </xf>
    <xf numFmtId="4" fontId="3" fillId="3" borderId="1" xfId="0" applyNumberFormat="1" applyFont="1" applyFill="1" applyBorder="1" applyAlignment="1">
      <alignment horizontal="right" vertical="center"/>
    </xf>
    <xf numFmtId="0" fontId="3" fillId="0" borderId="1" xfId="0" applyFont="1" applyBorder="1" applyAlignment="1">
      <alignment horizontal="left" vertical="center" wrapText="1"/>
    </xf>
    <xf numFmtId="14" fontId="6" fillId="0" borderId="1" xfId="0" applyNumberFormat="1" applyFont="1" applyBorder="1" applyAlignment="1">
      <alignment horizontal="left" vertical="center" wrapText="1" justifyLastLine="1"/>
    </xf>
    <xf numFmtId="0" fontId="0" fillId="0" borderId="0" xfId="0" applyAlignment="1">
      <alignment wrapText="1"/>
    </xf>
    <xf numFmtId="49" fontId="1" fillId="2" borderId="1" xfId="0" applyNumberFormat="1" applyFont="1" applyFill="1" applyBorder="1" applyAlignment="1">
      <alignment horizontal="center" vertical="center" wrapText="1" justifyLastLine="1"/>
    </xf>
    <xf numFmtId="49" fontId="3" fillId="0" borderId="1" xfId="0" applyNumberFormat="1" applyFont="1" applyBorder="1" applyAlignment="1">
      <alignment horizontal="right" vertical="center" wrapText="1"/>
    </xf>
    <xf numFmtId="49" fontId="0" fillId="0" borderId="0" xfId="0" applyNumberFormat="1"/>
  </cellXfs>
  <cellStyles count="2">
    <cellStyle name="Hi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 2013 -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07461D-646D-4E3D-8EEA-F1F2D9B59514}">
  <dimension ref="A1:Z600"/>
  <sheetViews>
    <sheetView tabSelected="1" workbookViewId="0">
      <selection activeCell="E1" sqref="E1:E1048576"/>
    </sheetView>
  </sheetViews>
  <sheetFormatPr defaultRowHeight="15" x14ac:dyDescent="0.25"/>
  <cols>
    <col min="1" max="1" width="21" customWidth="1"/>
    <col min="2" max="2" width="26.140625" customWidth="1"/>
    <col min="3" max="3" width="23.140625" customWidth="1"/>
    <col min="4" max="4" width="22.7109375" customWidth="1"/>
    <col min="5" max="5" width="58" style="10" customWidth="1"/>
    <col min="6" max="6" width="24.7109375" customWidth="1"/>
    <col min="7" max="7" width="18.7109375" customWidth="1"/>
    <col min="8" max="8" width="18" customWidth="1"/>
    <col min="9" max="9" width="30" customWidth="1"/>
    <col min="10" max="10" width="23.85546875" style="13" customWidth="1"/>
    <col min="11" max="24" width="9.140625" hidden="1" customWidth="1"/>
    <col min="25" max="28" width="0" hidden="1" customWidth="1"/>
  </cols>
  <sheetData>
    <row r="1" spans="1:26" ht="24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1" t="s">
        <v>9</v>
      </c>
    </row>
    <row r="2" spans="1:26" x14ac:dyDescent="0.25">
      <c r="A2" s="1" t="s">
        <v>10</v>
      </c>
      <c r="B2" s="1" t="s">
        <v>11</v>
      </c>
      <c r="C2" s="1" t="s">
        <v>12</v>
      </c>
      <c r="D2" s="1" t="s">
        <v>13</v>
      </c>
      <c r="E2" s="1" t="s">
        <v>14</v>
      </c>
      <c r="F2" s="1" t="s">
        <v>15</v>
      </c>
      <c r="G2" s="1" t="s">
        <v>16</v>
      </c>
      <c r="H2" s="1" t="s">
        <v>17</v>
      </c>
      <c r="I2" s="1" t="s">
        <v>18</v>
      </c>
      <c r="J2" s="11" t="s">
        <v>19</v>
      </c>
    </row>
    <row r="3" spans="1:26" ht="38.25" x14ac:dyDescent="0.25">
      <c r="A3" s="2" t="s">
        <v>20</v>
      </c>
      <c r="B3" s="3" t="s">
        <v>21</v>
      </c>
      <c r="C3" s="4" t="str">
        <f>HYPERLINK("https://transparencia-area-fim.mpce.mp.br/#/consulta/processo/pastadigital/092024000020553","09.2024.00002055-3")</f>
        <v>09.2024.00002055-3</v>
      </c>
      <c r="D3" s="5">
        <v>45317</v>
      </c>
      <c r="E3" s="9" t="s">
        <v>23</v>
      </c>
      <c r="F3" s="3" t="s">
        <v>70</v>
      </c>
      <c r="G3" s="6" t="str">
        <f>HYPERLINK("http://www8.mpce.mp.br/Empenhos/150001/NE/2024NE000002.pdf","2024NE000002")</f>
        <v>2024NE000002</v>
      </c>
      <c r="H3" s="7">
        <v>300</v>
      </c>
      <c r="I3" s="8" t="s">
        <v>25</v>
      </c>
      <c r="J3" s="12" t="s">
        <v>26</v>
      </c>
      <c r="K3" t="s">
        <v>26</v>
      </c>
      <c r="L3" t="s">
        <v>51</v>
      </c>
      <c r="M3" t="s">
        <v>23</v>
      </c>
      <c r="N3" t="s">
        <v>52</v>
      </c>
      <c r="O3" t="s">
        <v>22</v>
      </c>
      <c r="P3">
        <v>339039</v>
      </c>
      <c r="Q3">
        <v>14</v>
      </c>
      <c r="R3">
        <v>218444</v>
      </c>
      <c r="S3" t="s">
        <v>24</v>
      </c>
      <c r="T3" t="s">
        <v>53</v>
      </c>
      <c r="U3" t="s">
        <v>53</v>
      </c>
      <c r="W3" t="s">
        <v>54</v>
      </c>
      <c r="Y3" t="s">
        <v>24</v>
      </c>
      <c r="Z3" t="s">
        <v>22</v>
      </c>
    </row>
    <row r="4" spans="1:26" ht="51" x14ac:dyDescent="0.25">
      <c r="A4" s="2" t="s">
        <v>20</v>
      </c>
      <c r="B4" s="3" t="s">
        <v>21</v>
      </c>
      <c r="C4" s="4" t="str">
        <f>HYPERLINK("https://transparencia-area-fim.mpce.mp.br/#/consulta/processo/pastadigital/092021000000456","09.2021.00000045-6")</f>
        <v>09.2021.00000045-6</v>
      </c>
      <c r="D4" s="5">
        <v>45316</v>
      </c>
      <c r="E4" s="9" t="str">
        <f>HYPERLINK("https://www8.mpce.mp.br/Empenhos/150001/Objeto/02-2021.pdf","SERVIÇOS DE SUPORTE TÉCNICO DA SOLUÇÃO GUARDIÃO WEB-BY, CONMFORME CONTRATO 02/2021 E PROJETO 19/2023. POR ESTIMATIVA  PARA OS MESES DE JANEIRO A MARÇO DE 2024.")</f>
        <v>SERVIÇOS DE SUPORTE TÉCNICO DA SOLUÇÃO GUARDIÃO WEB-BY, CONMFORME CONTRATO 02/2021 E PROJETO 19/2023. POR ESTIMATIVA  PARA OS MESES DE JANEIRO A MARÇO DE 2024.</v>
      </c>
      <c r="F4" s="3" t="s">
        <v>71</v>
      </c>
      <c r="G4" s="6" t="str">
        <f>HYPERLINK("http://www8.mpce.mp.br/Empenhos/150501/NE/2024NE000003.pdf","2024NE000003")</f>
        <v>2024NE000003</v>
      </c>
      <c r="H4" s="7">
        <v>54790.38</v>
      </c>
      <c r="I4" s="8" t="s">
        <v>33</v>
      </c>
      <c r="J4" s="12" t="s">
        <v>34</v>
      </c>
      <c r="K4" t="s">
        <v>34</v>
      </c>
      <c r="L4" t="s">
        <v>51</v>
      </c>
      <c r="M4" t="s">
        <v>32</v>
      </c>
      <c r="N4" t="s">
        <v>57</v>
      </c>
      <c r="O4" t="s">
        <v>66</v>
      </c>
      <c r="P4">
        <v>339040</v>
      </c>
      <c r="Q4">
        <v>78</v>
      </c>
      <c r="R4">
        <v>308007</v>
      </c>
      <c r="S4" t="s">
        <v>29</v>
      </c>
      <c r="T4" t="s">
        <v>58</v>
      </c>
      <c r="U4" t="s">
        <v>66</v>
      </c>
      <c r="W4" t="s">
        <v>67</v>
      </c>
      <c r="X4" t="s">
        <v>68</v>
      </c>
      <c r="Y4" t="s">
        <v>29</v>
      </c>
      <c r="Z4" t="s">
        <v>66</v>
      </c>
    </row>
    <row r="5" spans="1:26" ht="38.25" x14ac:dyDescent="0.25">
      <c r="A5" s="2" t="s">
        <v>20</v>
      </c>
      <c r="B5" s="3" t="s">
        <v>21</v>
      </c>
      <c r="C5" s="4" t="str">
        <f>HYPERLINK("https://transparencia-area-fim.mpce.mp.br/#/consulta/processo/pastadigital/092024000020564","09.2024.00002056-4")</f>
        <v>09.2024.00002056-4</v>
      </c>
      <c r="D5" s="5">
        <v>45317</v>
      </c>
      <c r="E5" s="9" t="s">
        <v>28</v>
      </c>
      <c r="F5" s="3" t="s">
        <v>70</v>
      </c>
      <c r="G5" s="6" t="str">
        <f>HYPERLINK("http://www8.mpce.mp.br/Empenhos/150001/NE/2024NE000003.pdf","2024NE000003")</f>
        <v>2024NE000003</v>
      </c>
      <c r="H5" s="7">
        <v>1050</v>
      </c>
      <c r="I5" s="8" t="s">
        <v>30</v>
      </c>
      <c r="J5" s="12" t="s">
        <v>31</v>
      </c>
      <c r="K5" t="s">
        <v>31</v>
      </c>
      <c r="L5" t="s">
        <v>51</v>
      </c>
      <c r="M5" t="s">
        <v>28</v>
      </c>
      <c r="N5" t="s">
        <v>55</v>
      </c>
      <c r="O5" t="s">
        <v>27</v>
      </c>
      <c r="P5">
        <v>339039</v>
      </c>
      <c r="Q5">
        <v>14</v>
      </c>
      <c r="R5">
        <v>218444</v>
      </c>
      <c r="S5" t="s">
        <v>29</v>
      </c>
      <c r="T5" t="s">
        <v>53</v>
      </c>
      <c r="U5" t="s">
        <v>53</v>
      </c>
      <c r="W5" t="s">
        <v>56</v>
      </c>
      <c r="Y5" t="s">
        <v>29</v>
      </c>
      <c r="Z5" t="s">
        <v>27</v>
      </c>
    </row>
    <row r="6" spans="1:26" ht="38.25" x14ac:dyDescent="0.25">
      <c r="A6" s="2" t="s">
        <v>20</v>
      </c>
      <c r="B6" s="3" t="s">
        <v>21</v>
      </c>
      <c r="C6" s="4" t="str">
        <f>HYPERLINK("https://transparencia-area-fim.mpce.mp.br/#/consulta/processo/pastadigital/092024000020542","09.2024.00002054-2")</f>
        <v>09.2024.00002054-2</v>
      </c>
      <c r="D6" s="5">
        <v>45317</v>
      </c>
      <c r="E6" s="9" t="s">
        <v>36</v>
      </c>
      <c r="F6" s="3" t="s">
        <v>70</v>
      </c>
      <c r="G6" s="6" t="str">
        <f>HYPERLINK("http://www8.mpce.mp.br/Empenhos/150001/NE/2024NE000004.pdf","2024NE000004")</f>
        <v>2024NE000004</v>
      </c>
      <c r="H6" s="7">
        <v>900</v>
      </c>
      <c r="I6" s="8" t="s">
        <v>38</v>
      </c>
      <c r="J6" s="12" t="s">
        <v>39</v>
      </c>
      <c r="K6" t="s">
        <v>39</v>
      </c>
      <c r="L6" t="s">
        <v>51</v>
      </c>
      <c r="M6" t="s">
        <v>36</v>
      </c>
      <c r="N6" t="s">
        <v>59</v>
      </c>
      <c r="O6" t="s">
        <v>35</v>
      </c>
      <c r="P6">
        <v>339039</v>
      </c>
      <c r="Q6">
        <v>14</v>
      </c>
      <c r="R6">
        <v>218444</v>
      </c>
      <c r="S6" t="s">
        <v>37</v>
      </c>
      <c r="T6" t="s">
        <v>53</v>
      </c>
      <c r="U6" t="s">
        <v>53</v>
      </c>
      <c r="W6" t="s">
        <v>60</v>
      </c>
      <c r="Y6" t="s">
        <v>37</v>
      </c>
      <c r="Z6" t="s">
        <v>35</v>
      </c>
    </row>
    <row r="7" spans="1:26" ht="51" x14ac:dyDescent="0.25">
      <c r="A7" s="2" t="s">
        <v>45</v>
      </c>
      <c r="B7" s="3" t="s">
        <v>46</v>
      </c>
      <c r="C7" s="4" t="str">
        <f>HYPERLINK("https://transparencia-area-fim.mpce.mp.br/#/consulta/processo/pastadigital/092021000157125","09.2021.00015712-5")</f>
        <v>09.2021.00015712-5</v>
      </c>
      <c r="D7" s="5">
        <v>45316</v>
      </c>
      <c r="E7" s="9" t="str">
        <f>HYPERLINK("https://www8.mpce.mp.br/Empenhos/150001/Objeto/32-2021.pdf","SEGUROS DE VIDA DOS ESTAGIÁRIOS DESTE MP-CE, RELATIVOS AOS MESES DE JANEIRO A MARÇO/2024 POR ESTIMATIVA, CONFORME CONTRATO 32/2021 E PROJETO 27/2023")</f>
        <v>SEGUROS DE VIDA DOS ESTAGIÁRIOS DESTE MP-CE, RELATIVOS AOS MESES DE JANEIRO A MARÇO/2024 POR ESTIMATIVA, CONFORME CONTRATO 32/2021 E PROJETO 27/2023</v>
      </c>
      <c r="F7" s="3" t="s">
        <v>72</v>
      </c>
      <c r="G7" s="6" t="str">
        <f>HYPERLINK("http://www8.mpce.mp.br/Empenhos/150501/NE/2024NE000005.pdf","2024NE000005")</f>
        <v>2024NE000005</v>
      </c>
      <c r="H7" s="7">
        <v>200</v>
      </c>
      <c r="I7" s="8" t="s">
        <v>49</v>
      </c>
      <c r="J7" s="12" t="s">
        <v>50</v>
      </c>
      <c r="K7" t="s">
        <v>44</v>
      </c>
      <c r="L7" t="s">
        <v>51</v>
      </c>
      <c r="M7" t="s">
        <v>41</v>
      </c>
      <c r="N7" t="s">
        <v>61</v>
      </c>
      <c r="O7" t="s">
        <v>40</v>
      </c>
      <c r="P7">
        <v>339039</v>
      </c>
      <c r="Q7">
        <v>14</v>
      </c>
      <c r="R7">
        <v>218444</v>
      </c>
      <c r="S7" t="s">
        <v>42</v>
      </c>
      <c r="T7" t="s">
        <v>53</v>
      </c>
      <c r="U7" t="s">
        <v>53</v>
      </c>
      <c r="W7" t="s">
        <v>62</v>
      </c>
      <c r="Y7" t="s">
        <v>42</v>
      </c>
      <c r="Z7" t="s">
        <v>40</v>
      </c>
    </row>
    <row r="8" spans="1:26" ht="38.25" x14ac:dyDescent="0.25">
      <c r="A8" s="2" t="s">
        <v>20</v>
      </c>
      <c r="B8" s="3" t="s">
        <v>21</v>
      </c>
      <c r="C8" s="4" t="str">
        <f>HYPERLINK("https://transparencia-area-fim.mpce.mp.br/#/consulta/processo/pastadigital/092024000020531","09.2024.00002053-1")</f>
        <v>09.2024.00002053-1</v>
      </c>
      <c r="D8" s="5">
        <v>45317</v>
      </c>
      <c r="E8" s="9" t="s">
        <v>41</v>
      </c>
      <c r="F8" s="3" t="s">
        <v>70</v>
      </c>
      <c r="G8" s="6" t="str">
        <f>HYPERLINK("http://www8.mpce.mp.br/Empenhos/150001/NE/2024NE000005.pdf","2024NE000005")</f>
        <v>2024NE000005</v>
      </c>
      <c r="H8" s="7">
        <v>450</v>
      </c>
      <c r="I8" s="8" t="s">
        <v>43</v>
      </c>
      <c r="J8" s="12" t="s">
        <v>44</v>
      </c>
      <c r="K8" t="s">
        <v>50</v>
      </c>
      <c r="L8" t="s">
        <v>51</v>
      </c>
      <c r="M8" t="s">
        <v>48</v>
      </c>
      <c r="N8" t="s">
        <v>63</v>
      </c>
      <c r="O8" t="s">
        <v>47</v>
      </c>
      <c r="P8">
        <v>339039</v>
      </c>
      <c r="Q8">
        <v>14</v>
      </c>
      <c r="R8">
        <v>222686</v>
      </c>
      <c r="S8" t="s">
        <v>42</v>
      </c>
      <c r="T8" t="s">
        <v>64</v>
      </c>
      <c r="U8" t="s">
        <v>47</v>
      </c>
      <c r="W8" t="s">
        <v>65</v>
      </c>
      <c r="X8" t="s">
        <v>69</v>
      </c>
      <c r="Y8" t="s">
        <v>42</v>
      </c>
      <c r="Z8" t="s">
        <v>47</v>
      </c>
    </row>
    <row r="9" spans="1:26" ht="38.25" x14ac:dyDescent="0.25">
      <c r="A9" s="2" t="s">
        <v>20</v>
      </c>
      <c r="B9" s="3" t="s">
        <v>21</v>
      </c>
      <c r="C9" s="4" t="str">
        <f>HYPERLINK("https://transparencia-area-fim.mpce.mp.br/#/consulta/processo/pastadigital/092024000020510","09.2024.00002051-0")</f>
        <v>09.2024.00002051-0</v>
      </c>
      <c r="D9" s="5">
        <v>45316</v>
      </c>
      <c r="E9" s="9" t="s">
        <v>73</v>
      </c>
      <c r="F9" s="3" t="s">
        <v>70</v>
      </c>
      <c r="G9" s="6" t="str">
        <f>HYPERLINK("http://www8.mpce.mp.br/Empenhos/150001/NE/2024NE000006.pdf","2024NE000006")</f>
        <v>2024NE000006</v>
      </c>
      <c r="H9" s="7">
        <v>150</v>
      </c>
      <c r="I9" s="8" t="s">
        <v>74</v>
      </c>
      <c r="J9" s="12" t="s">
        <v>75</v>
      </c>
    </row>
    <row r="10" spans="1:26" ht="38.25" x14ac:dyDescent="0.25">
      <c r="A10" s="2" t="s">
        <v>20</v>
      </c>
      <c r="B10" s="3" t="s">
        <v>21</v>
      </c>
      <c r="C10" s="4" t="str">
        <f>HYPERLINK("https://transparencia-area-fim.mpce.mp.br/#/consulta/processo/pastadigital/092024000020509","09.2024.00002050-9")</f>
        <v>09.2024.00002050-9</v>
      </c>
      <c r="D10" s="5">
        <v>45317</v>
      </c>
      <c r="E10" s="9" t="s">
        <v>76</v>
      </c>
      <c r="F10" s="3" t="s">
        <v>70</v>
      </c>
      <c r="G10" s="6" t="str">
        <f>HYPERLINK("http://www8.mpce.mp.br/Empenhos/150001/NE/2024NE000007.pdf","2024NE000007")</f>
        <v>2024NE000007</v>
      </c>
      <c r="H10" s="7">
        <v>300</v>
      </c>
      <c r="I10" s="8" t="s">
        <v>77</v>
      </c>
      <c r="J10" s="12" t="s">
        <v>78</v>
      </c>
    </row>
    <row r="11" spans="1:26" ht="51" x14ac:dyDescent="0.25">
      <c r="A11" s="2" t="s">
        <v>20</v>
      </c>
      <c r="B11" s="3" t="s">
        <v>21</v>
      </c>
      <c r="C11" s="4" t="str">
        <f>HYPERLINK("http://www8.mpce.mp.br/Inexigibilidade/2903020176.pdf","29030/2017-6")</f>
        <v>29030/2017-6</v>
      </c>
      <c r="D11" s="5">
        <v>45316</v>
      </c>
      <c r="E11" s="9" t="str">
        <f>HYPERLINK("https://www8.mpce.mp.br/Empenhos/150001/Objeto/31-2018.pdf","SERVIÇOS DE SUSTENTAÇÃO SAJ-MP POR ESTIMATIVA, CONFORME CONTRATO 031/2018 - PROJETO 052/2023 - REFERENTE AOS MESES DE JANEIRO, FEVEREIRO E MARÇO DE 2024.")</f>
        <v>SERVIÇOS DE SUSTENTAÇÃO SAJ-MP POR ESTIMATIVA, CONFORME CONTRATO 031/2018 - PROJETO 052/2023 - REFERENTE AOS MESES DE JANEIRO, FEVEREIRO E MARÇO DE 2024.</v>
      </c>
      <c r="F11" s="3" t="s">
        <v>82</v>
      </c>
      <c r="G11" s="6" t="str">
        <f>HYPERLINK("http://www8.mpce.mp.br/Empenhos/150501/NE/2024NE000008.pdf","2024NE000008")</f>
        <v>2024NE000008</v>
      </c>
      <c r="H11" s="7">
        <v>220467.36</v>
      </c>
      <c r="I11" s="8" t="s">
        <v>83</v>
      </c>
      <c r="J11" s="12" t="s">
        <v>84</v>
      </c>
    </row>
    <row r="12" spans="1:26" ht="51" x14ac:dyDescent="0.25">
      <c r="A12" s="2" t="s">
        <v>20</v>
      </c>
      <c r="B12" s="3" t="s">
        <v>21</v>
      </c>
      <c r="C12" s="4" t="str">
        <f>HYPERLINK("http://www8.mpce.mp.br/Inexigibilidade/2903020176.pdf","29030/2017-6")</f>
        <v>29030/2017-6</v>
      </c>
      <c r="D12" s="5">
        <v>45316</v>
      </c>
      <c r="E12" s="9" t="str">
        <f>HYPERLINK("https://www8.mpce.mp.br/Empenhos/150001/Objeto/31-2018.pdf","SERVIÇOS DE SUSTENTAÇÃO SAJ-MP POR ESTIMATIVA, CONFORME CONTRATO 031/2018 - PROJETO 052/2023 - REFERENTE AOS MESES DE JANEIRO, FEVEREIRO E MARÇO DE 2024.")</f>
        <v>SERVIÇOS DE SUSTENTAÇÃO SAJ-MP POR ESTIMATIVA, CONFORME CONTRATO 031/2018 - PROJETO 052/2023 - REFERENTE AOS MESES DE JANEIRO, FEVEREIRO E MARÇO DE 2024.</v>
      </c>
      <c r="F12" s="3" t="s">
        <v>82</v>
      </c>
      <c r="G12" s="6" t="str">
        <f>HYPERLINK("http://www8.mpce.mp.br/Empenhos/150501/NE/2024NE000008.pdf","2024NE000008")</f>
        <v>2024NE000008</v>
      </c>
      <c r="H12" s="7">
        <v>220467.36</v>
      </c>
      <c r="I12" s="8" t="s">
        <v>83</v>
      </c>
      <c r="J12" s="12" t="s">
        <v>84</v>
      </c>
    </row>
    <row r="13" spans="1:26" ht="51" x14ac:dyDescent="0.25">
      <c r="A13" s="2" t="s">
        <v>20</v>
      </c>
      <c r="B13" s="3" t="s">
        <v>21</v>
      </c>
      <c r="C13" s="4" t="str">
        <f>HYPERLINK("http://www8.mpce.mp.br/Inexigibilidade/2903020176.pdf","29030/2017-6")</f>
        <v>29030/2017-6</v>
      </c>
      <c r="D13" s="5">
        <v>45316</v>
      </c>
      <c r="E13" s="9" t="str">
        <f>HYPERLINK("https://www8.mpce.mp.br/Empenhos/150001/Objeto/31-2018.pdf","SERVIÇOS DE SUSTENTAÇÃO SAJ-MP POR ESTIMATIVA, CONFORME CONTRATO 031/2018 - PROJETO 052/2023 - REFERENTE AOS MESES DE JANEIRO, FEVEREIRO E MARÇO DE 2024.")</f>
        <v>SERVIÇOS DE SUSTENTAÇÃO SAJ-MP POR ESTIMATIVA, CONFORME CONTRATO 031/2018 - PROJETO 052/2023 - REFERENTE AOS MESES DE JANEIRO, FEVEREIRO E MARÇO DE 2024.</v>
      </c>
      <c r="F13" s="3" t="s">
        <v>82</v>
      </c>
      <c r="G13" s="6" t="str">
        <f>HYPERLINK("http://www8.mpce.mp.br/Empenhos/150501/NE/2024NE000008.pdf","2024NE000008")</f>
        <v>2024NE000008</v>
      </c>
      <c r="H13" s="7">
        <v>220467.36</v>
      </c>
      <c r="I13" s="8" t="s">
        <v>83</v>
      </c>
      <c r="J13" s="12" t="s">
        <v>84</v>
      </c>
    </row>
    <row r="14" spans="1:26" ht="38.25" x14ac:dyDescent="0.25">
      <c r="A14" s="2" t="s">
        <v>20</v>
      </c>
      <c r="B14" s="3" t="s">
        <v>21</v>
      </c>
      <c r="C14" s="4" t="str">
        <f>HYPERLINK("https://transparencia-area-fim.mpce.mp.br/#/consulta/processo/pastadigital/092024000020475","09.2024.00002047-5")</f>
        <v>09.2024.00002047-5</v>
      </c>
      <c r="D14" s="5">
        <v>45316</v>
      </c>
      <c r="E14" s="9" t="s">
        <v>79</v>
      </c>
      <c r="F14" s="3" t="s">
        <v>70</v>
      </c>
      <c r="G14" s="6" t="str">
        <f>HYPERLINK("http://www8.mpce.mp.br/Empenhos/150001/NE/2024NE000008.pdf","2024NE000008")</f>
        <v>2024NE000008</v>
      </c>
      <c r="H14" s="7">
        <v>1800</v>
      </c>
      <c r="I14" s="8" t="s">
        <v>80</v>
      </c>
      <c r="J14" s="12" t="s">
        <v>81</v>
      </c>
    </row>
    <row r="15" spans="1:26" ht="51" x14ac:dyDescent="0.25">
      <c r="A15" s="2" t="s">
        <v>20</v>
      </c>
      <c r="B15" s="3" t="s">
        <v>21</v>
      </c>
      <c r="C15" s="4" t="str">
        <f>HYPERLINK("http://www8.mpce.mp.br/Inexigibilidade/2903020176.pdf","29030/2017-6")</f>
        <v>29030/2017-6</v>
      </c>
      <c r="D15" s="5">
        <v>45316</v>
      </c>
      <c r="E15" s="9" t="str">
        <f>HYPERLINK("https://www8.mpce.mp.br/Empenhos/150001/Objeto/31-2018.pdf","SERVIÇOS DE SUSTENTAÇÃO SAJ-MP POR ESTIMATIVA, CONFORME CONTRATO 031/2018 - PROJETO 052/2023 - REFERENTE AOS MESES DE JANEIRO, FEVEREIRO E MARÇO DE 2024.")</f>
        <v>SERVIÇOS DE SUSTENTAÇÃO SAJ-MP POR ESTIMATIVA, CONFORME CONTRATO 031/2018 - PROJETO 052/2023 - REFERENTE AOS MESES DE JANEIRO, FEVEREIRO E MARÇO DE 2024.</v>
      </c>
      <c r="F15" s="3" t="s">
        <v>82</v>
      </c>
      <c r="G15" s="6" t="str">
        <f>HYPERLINK("http://www8.mpce.mp.br/Empenhos/150501/NE/2024NE000008.pdf","2024NE000008")</f>
        <v>2024NE000008</v>
      </c>
      <c r="H15" s="7">
        <v>220467.36</v>
      </c>
      <c r="I15" s="8" t="s">
        <v>83</v>
      </c>
      <c r="J15" s="12" t="s">
        <v>84</v>
      </c>
    </row>
    <row r="16" spans="1:26" ht="51" x14ac:dyDescent="0.25">
      <c r="A16" s="2" t="s">
        <v>20</v>
      </c>
      <c r="B16" s="3" t="s">
        <v>21</v>
      </c>
      <c r="C16" s="4" t="str">
        <f>HYPERLINK("http://www8.mpce.mp.br/Inexigibilidade/2903020176.pdf","29030/2017-6")</f>
        <v>29030/2017-6</v>
      </c>
      <c r="D16" s="5">
        <v>45316</v>
      </c>
      <c r="E16" s="9" t="str">
        <f>HYPERLINK("https://www8.mpce.mp.br/Empenhos/150001/Objeto/31-2018.pdf","SERVIÇOS DE SUSTENTAÇÃO SAJ-MP POR ESTIMATIVA, CONFORME CONTRATO 031/2018 - PROJETO 052/2023 - REFERENTE AOS MESES DE JANEIRO, FEVEREIRO E MARÇO DE 2024.")</f>
        <v>SERVIÇOS DE SUSTENTAÇÃO SAJ-MP POR ESTIMATIVA, CONFORME CONTRATO 031/2018 - PROJETO 052/2023 - REFERENTE AOS MESES DE JANEIRO, FEVEREIRO E MARÇO DE 2024.</v>
      </c>
      <c r="F16" s="3" t="s">
        <v>82</v>
      </c>
      <c r="G16" s="6" t="str">
        <f>HYPERLINK("http://www8.mpce.mp.br/Empenhos/150501/NE/2024NE000008.pdf","2024NE000008")</f>
        <v>2024NE000008</v>
      </c>
      <c r="H16" s="7">
        <v>220467.36</v>
      </c>
      <c r="I16" s="8" t="s">
        <v>83</v>
      </c>
      <c r="J16" s="12" t="s">
        <v>84</v>
      </c>
    </row>
    <row r="17" spans="1:10" ht="51" x14ac:dyDescent="0.25">
      <c r="A17" s="2" t="s">
        <v>20</v>
      </c>
      <c r="B17" s="3" t="s">
        <v>21</v>
      </c>
      <c r="C17" s="4" t="str">
        <f>HYPERLINK("http://www8.mpce.mp.br/Inexigibilidade/2903020176.pdf","29030/2017-6")</f>
        <v>29030/2017-6</v>
      </c>
      <c r="D17" s="5">
        <v>45316</v>
      </c>
      <c r="E17" s="9" t="str">
        <f>HYPERLINK("https://www8.mpce.mp.br/Empenhos/150001/Objeto/31-2018.pdf","SERVIÇOS SOB DEMANDA SAJ-MP POR ESTIMATIVA, CONFORME CONTRATO 031/2018 - PROJETO 052/2023 - REFERENTE AOS MESES DE JANEIRO, FEVEREIRO E MARÇO DE 2024.")</f>
        <v>SERVIÇOS SOB DEMANDA SAJ-MP POR ESTIMATIVA, CONFORME CONTRATO 031/2018 - PROJETO 052/2023 - REFERENTE AOS MESES DE JANEIRO, FEVEREIRO E MARÇO DE 2024.</v>
      </c>
      <c r="F17" s="3" t="s">
        <v>82</v>
      </c>
      <c r="G17" s="6" t="str">
        <f>HYPERLINK("http://www8.mpce.mp.br/Empenhos/150501/NE/2024NE000009.pdf","2024NE000009")</f>
        <v>2024NE000009</v>
      </c>
      <c r="H17" s="7">
        <v>52217</v>
      </c>
      <c r="I17" s="8" t="s">
        <v>83</v>
      </c>
      <c r="J17" s="12" t="s">
        <v>84</v>
      </c>
    </row>
    <row r="18" spans="1:10" ht="51" x14ac:dyDescent="0.25">
      <c r="A18" s="2" t="s">
        <v>20</v>
      </c>
      <c r="B18" s="3" t="s">
        <v>21</v>
      </c>
      <c r="C18" s="4" t="str">
        <f>HYPERLINK("http://www8.mpce.mp.br/Inexigibilidade/2903020176.pdf","29030/2017-6")</f>
        <v>29030/2017-6</v>
      </c>
      <c r="D18" s="5">
        <v>45316</v>
      </c>
      <c r="E18" s="9" t="str">
        <f>HYPERLINK("https://www8.mpce.mp.br/Empenhos/150001/Objeto/31-2018.pdf","SERVIÇOS SOB DEMANDA SAJ-MP POR ESTIMATIVA, CONFORME CONTRATO 031/2018 - PROJETO 052/2023 - REFERENTE AOS MESES DE JANEIRO, FEVEREIRO E MARÇO DE 2024.")</f>
        <v>SERVIÇOS SOB DEMANDA SAJ-MP POR ESTIMATIVA, CONFORME CONTRATO 031/2018 - PROJETO 052/2023 - REFERENTE AOS MESES DE JANEIRO, FEVEREIRO E MARÇO DE 2024.</v>
      </c>
      <c r="F18" s="3" t="s">
        <v>82</v>
      </c>
      <c r="G18" s="6" t="str">
        <f>HYPERLINK("http://www8.mpce.mp.br/Empenhos/150501/NE/2024NE000009.pdf","2024NE000009")</f>
        <v>2024NE000009</v>
      </c>
      <c r="H18" s="7">
        <v>52217</v>
      </c>
      <c r="I18" s="8" t="s">
        <v>83</v>
      </c>
      <c r="J18" s="12" t="s">
        <v>84</v>
      </c>
    </row>
    <row r="19" spans="1:10" ht="51" x14ac:dyDescent="0.25">
      <c r="A19" s="2" t="s">
        <v>20</v>
      </c>
      <c r="B19" s="3" t="s">
        <v>21</v>
      </c>
      <c r="C19" s="4" t="str">
        <f>HYPERLINK("http://www8.mpce.mp.br/Inexigibilidade/2903020176.pdf","29030/2017-6")</f>
        <v>29030/2017-6</v>
      </c>
      <c r="D19" s="5">
        <v>45316</v>
      </c>
      <c r="E19" s="9" t="str">
        <f>HYPERLINK("https://www8.mpce.mp.br/Empenhos/150001/Objeto/31-2018.pdf","SERVIÇOS SOB DEMANDA SAJ-MP POR ESTIMATIVA, CONFORME CONTRATO 031/2018 - PROJETO 052/2023 - REFERENTE AOS MESES DE JANEIRO, FEVEREIRO E MARÇO DE 2024.")</f>
        <v>SERVIÇOS SOB DEMANDA SAJ-MP POR ESTIMATIVA, CONFORME CONTRATO 031/2018 - PROJETO 052/2023 - REFERENTE AOS MESES DE JANEIRO, FEVEREIRO E MARÇO DE 2024.</v>
      </c>
      <c r="F19" s="3" t="s">
        <v>82</v>
      </c>
      <c r="G19" s="6" t="str">
        <f>HYPERLINK("http://www8.mpce.mp.br/Empenhos/150501/NE/2024NE000009.pdf","2024NE000009")</f>
        <v>2024NE000009</v>
      </c>
      <c r="H19" s="7">
        <v>52217</v>
      </c>
      <c r="I19" s="8" t="s">
        <v>83</v>
      </c>
      <c r="J19" s="12" t="s">
        <v>84</v>
      </c>
    </row>
    <row r="20" spans="1:10" ht="51" x14ac:dyDescent="0.25">
      <c r="A20" s="2" t="s">
        <v>20</v>
      </c>
      <c r="B20" s="3" t="s">
        <v>21</v>
      </c>
      <c r="C20" s="4" t="str">
        <f>HYPERLINK("http://www8.mpce.mp.br/Inexigibilidade/2903020176.pdf","29030/2017-6")</f>
        <v>29030/2017-6</v>
      </c>
      <c r="D20" s="5">
        <v>45316</v>
      </c>
      <c r="E20" s="9" t="str">
        <f>HYPERLINK("https://www8.mpce.mp.br/Empenhos/150001/Objeto/31-2018.pdf","SERVIÇOS SOB DEMANDA SAJ-MP POR ESTIMATIVA, CONFORME CONTRATO 031/2018 - PROJETO 052/2023 - REFERENTE AOS MESES DE JANEIRO, FEVEREIRO E MARÇO DE 2024.")</f>
        <v>SERVIÇOS SOB DEMANDA SAJ-MP POR ESTIMATIVA, CONFORME CONTRATO 031/2018 - PROJETO 052/2023 - REFERENTE AOS MESES DE JANEIRO, FEVEREIRO E MARÇO DE 2024.</v>
      </c>
      <c r="F20" s="3" t="s">
        <v>82</v>
      </c>
      <c r="G20" s="6" t="str">
        <f>HYPERLINK("http://www8.mpce.mp.br/Empenhos/150501/NE/2024NE000009.pdf","2024NE000009")</f>
        <v>2024NE000009</v>
      </c>
      <c r="H20" s="7">
        <v>52217</v>
      </c>
      <c r="I20" s="8" t="s">
        <v>83</v>
      </c>
      <c r="J20" s="12" t="s">
        <v>84</v>
      </c>
    </row>
    <row r="21" spans="1:10" ht="51" x14ac:dyDescent="0.25">
      <c r="A21" s="2" t="s">
        <v>20</v>
      </c>
      <c r="B21" s="3" t="s">
        <v>21</v>
      </c>
      <c r="C21" s="4" t="str">
        <f>HYPERLINK("http://www8.mpce.mp.br/Inexigibilidade/2903020176.pdf","29030/2017-6")</f>
        <v>29030/2017-6</v>
      </c>
      <c r="D21" s="5">
        <v>45316</v>
      </c>
      <c r="E21" s="9" t="str">
        <f>HYPERLINK("https://www8.mpce.mp.br/Empenhos/150001/Objeto/31-2018.pdf","SERVIÇOS SOB DEMANDA SAJ-MP POR ESTIMATIVA, CONFORME CONTRATO 031/2018 - PROJETO 052/2023 - REFERENTE AOS MESES DE JANEIRO, FEVEREIRO E MARÇO DE 2024.")</f>
        <v>SERVIÇOS SOB DEMANDA SAJ-MP POR ESTIMATIVA, CONFORME CONTRATO 031/2018 - PROJETO 052/2023 - REFERENTE AOS MESES DE JANEIRO, FEVEREIRO E MARÇO DE 2024.</v>
      </c>
      <c r="F21" s="3" t="s">
        <v>82</v>
      </c>
      <c r="G21" s="6" t="str">
        <f>HYPERLINK("http://www8.mpce.mp.br/Empenhos/150501/NE/2024NE000009.pdf","2024NE000009")</f>
        <v>2024NE000009</v>
      </c>
      <c r="H21" s="7">
        <v>52217</v>
      </c>
      <c r="I21" s="8" t="s">
        <v>83</v>
      </c>
      <c r="J21" s="12" t="s">
        <v>84</v>
      </c>
    </row>
    <row r="22" spans="1:10" ht="38.25" x14ac:dyDescent="0.25">
      <c r="A22" s="2" t="s">
        <v>20</v>
      </c>
      <c r="B22" s="3" t="s">
        <v>21</v>
      </c>
      <c r="C22" s="4" t="str">
        <f>HYPERLINK("https://transparencia-area-fim.mpce.mp.br/#/consulta/processo/pastadigital/092024000020164","09.2024.00002016-4")</f>
        <v>09.2024.00002016-4</v>
      </c>
      <c r="D22" s="5">
        <v>45316</v>
      </c>
      <c r="E22" s="9" t="s">
        <v>85</v>
      </c>
      <c r="F22" s="3" t="s">
        <v>70</v>
      </c>
      <c r="G22" s="6" t="str">
        <f>HYPERLINK("http://www8.mpce.mp.br/Empenhos/150001/NE/2024NE000009.pdf","2024NE000009")</f>
        <v>2024NE000009</v>
      </c>
      <c r="H22" s="7">
        <v>300</v>
      </c>
      <c r="I22" s="8" t="s">
        <v>86</v>
      </c>
      <c r="J22" s="12" t="s">
        <v>87</v>
      </c>
    </row>
    <row r="23" spans="1:10" ht="51" x14ac:dyDescent="0.25">
      <c r="A23" s="2" t="s">
        <v>20</v>
      </c>
      <c r="B23" s="3" t="s">
        <v>21</v>
      </c>
      <c r="C23" s="4" t="str">
        <f>HYPERLINK("http://www8.mpce.mp.br/Inexigibilidade/2903020176.pdf","29030/2017-6")</f>
        <v>29030/2017-6</v>
      </c>
      <c r="D23" s="5">
        <v>45316</v>
      </c>
      <c r="E23" s="9" t="str">
        <f>HYPERLINK("https://www8.mpce.mp.br/Empenhos/150001/Objeto/31-2018.pdf","SERVIÇOS DE SUPORTE NÍVEL 1 DO SISTEMA SAJ-MP POR ESTIMATIVA, CONFORME CONTRATO 031/2018 - PROJETO 052/2023 - REFERENTE AOS MESES DE JANEIRO, FEVEREIRO E MARÇO DE 2024.")</f>
        <v>SERVIÇOS DE SUPORTE NÍVEL 1 DO SISTEMA SAJ-MP POR ESTIMATIVA, CONFORME CONTRATO 031/2018 - PROJETO 052/2023 - REFERENTE AOS MESES DE JANEIRO, FEVEREIRO E MARÇO DE 2024.</v>
      </c>
      <c r="F23" s="3" t="s">
        <v>82</v>
      </c>
      <c r="G23" s="6" t="str">
        <f>HYPERLINK("http://www8.mpce.mp.br/Empenhos/150501/NE/2024NE000010.pdf","2024NE000010")</f>
        <v>2024NE000010</v>
      </c>
      <c r="H23" s="7">
        <v>563056.98</v>
      </c>
      <c r="I23" s="8" t="s">
        <v>83</v>
      </c>
      <c r="J23" s="12" t="s">
        <v>84</v>
      </c>
    </row>
    <row r="24" spans="1:10" ht="51" x14ac:dyDescent="0.25">
      <c r="A24" s="2" t="s">
        <v>20</v>
      </c>
      <c r="B24" s="3" t="s">
        <v>21</v>
      </c>
      <c r="C24" s="4" t="str">
        <f>HYPERLINK("http://www8.mpce.mp.br/Inexigibilidade/2903020176.pdf","29030/2017-6")</f>
        <v>29030/2017-6</v>
      </c>
      <c r="D24" s="5">
        <v>45316</v>
      </c>
      <c r="E24" s="9" t="str">
        <f>HYPERLINK("https://www8.mpce.mp.br/Empenhos/150001/Objeto/31-2018.pdf","SERVIÇOS DE SUPORTE NÍVEL 1 DO SISTEMA SAJ-MP POR ESTIMATIVA, CONFORME CONTRATO 031/2018 - PROJETO 052/2023 - REFERENTE AOS MESES DE JANEIRO, FEVEREIRO E MARÇO DE 2024.")</f>
        <v>SERVIÇOS DE SUPORTE NÍVEL 1 DO SISTEMA SAJ-MP POR ESTIMATIVA, CONFORME CONTRATO 031/2018 - PROJETO 052/2023 - REFERENTE AOS MESES DE JANEIRO, FEVEREIRO E MARÇO DE 2024.</v>
      </c>
      <c r="F24" s="3" t="s">
        <v>82</v>
      </c>
      <c r="G24" s="6" t="str">
        <f>HYPERLINK("http://www8.mpce.mp.br/Empenhos/150501/NE/2024NE000010.pdf","2024NE000010")</f>
        <v>2024NE000010</v>
      </c>
      <c r="H24" s="7">
        <v>563056.98</v>
      </c>
      <c r="I24" s="8" t="s">
        <v>83</v>
      </c>
      <c r="J24" s="12" t="s">
        <v>84</v>
      </c>
    </row>
    <row r="25" spans="1:10" ht="38.25" x14ac:dyDescent="0.25">
      <c r="A25" s="2" t="s">
        <v>20</v>
      </c>
      <c r="B25" s="3" t="s">
        <v>21</v>
      </c>
      <c r="C25" s="4" t="str">
        <f>HYPERLINK("https://transparencia-area-fim.mpce.mp.br/#/consulta/processo/pastadigital/092024000019924","09.2024.00001992-4")</f>
        <v>09.2024.00001992-4</v>
      </c>
      <c r="D25" s="5">
        <v>45316</v>
      </c>
      <c r="E25" s="9" t="s">
        <v>88</v>
      </c>
      <c r="F25" s="3" t="s">
        <v>70</v>
      </c>
      <c r="G25" s="6" t="str">
        <f>HYPERLINK("http://www8.mpce.mp.br/Empenhos/150001/NE/2024NE000010.pdf","2024NE000010")</f>
        <v>2024NE000010</v>
      </c>
      <c r="H25" s="7">
        <v>600</v>
      </c>
      <c r="I25" s="8" t="s">
        <v>89</v>
      </c>
      <c r="J25" s="12" t="s">
        <v>90</v>
      </c>
    </row>
    <row r="26" spans="1:10" ht="51" x14ac:dyDescent="0.25">
      <c r="A26" s="2" t="s">
        <v>20</v>
      </c>
      <c r="B26" s="3" t="s">
        <v>21</v>
      </c>
      <c r="C26" s="4" t="str">
        <f>HYPERLINK("http://www8.mpce.mp.br/Inexigibilidade/2903020176.pdf","29030/2017-6")</f>
        <v>29030/2017-6</v>
      </c>
      <c r="D26" s="5">
        <v>45316</v>
      </c>
      <c r="E26" s="9" t="str">
        <f>HYPERLINK("https://www8.mpce.mp.br/Empenhos/150001/Objeto/31-2018.pdf","SERVIÇOS DE SUPORTE NÍVEL 1 DO SISTEMA SAJ-MP POR ESTIMATIVA, CONFORME CONTRATO 031/2018 - PROJETO 052/2023 - REFERENTE AOS MESES DE JANEIRO, FEVEREIRO E MARÇO DE 2024.")</f>
        <v>SERVIÇOS DE SUPORTE NÍVEL 1 DO SISTEMA SAJ-MP POR ESTIMATIVA, CONFORME CONTRATO 031/2018 - PROJETO 052/2023 - REFERENTE AOS MESES DE JANEIRO, FEVEREIRO E MARÇO DE 2024.</v>
      </c>
      <c r="F26" s="3" t="s">
        <v>82</v>
      </c>
      <c r="G26" s="6" t="str">
        <f>HYPERLINK("http://www8.mpce.mp.br/Empenhos/150501/NE/2024NE000010.pdf","2024NE000010")</f>
        <v>2024NE000010</v>
      </c>
      <c r="H26" s="7">
        <v>563056.98</v>
      </c>
      <c r="I26" s="8" t="s">
        <v>83</v>
      </c>
      <c r="J26" s="12" t="s">
        <v>84</v>
      </c>
    </row>
    <row r="27" spans="1:10" ht="51" x14ac:dyDescent="0.25">
      <c r="A27" s="2" t="s">
        <v>20</v>
      </c>
      <c r="B27" s="3" t="s">
        <v>21</v>
      </c>
      <c r="C27" s="4" t="str">
        <f>HYPERLINK("http://www8.mpce.mp.br/Inexigibilidade/2903020176.pdf","29030/2017-6")</f>
        <v>29030/2017-6</v>
      </c>
      <c r="D27" s="5">
        <v>45316</v>
      </c>
      <c r="E27" s="9" t="str">
        <f>HYPERLINK("https://www8.mpce.mp.br/Empenhos/150001/Objeto/31-2018.pdf","SERVIÇOS DE SUPORTE NÍVEL 1 DO SISTEMA SAJ-MP POR ESTIMATIVA, CONFORME CONTRATO 031/2018 - PROJETO 052/2023 - REFERENTE AOS MESES DE JANEIRO, FEVEREIRO E MARÇO DE 2024.")</f>
        <v>SERVIÇOS DE SUPORTE NÍVEL 1 DO SISTEMA SAJ-MP POR ESTIMATIVA, CONFORME CONTRATO 031/2018 - PROJETO 052/2023 - REFERENTE AOS MESES DE JANEIRO, FEVEREIRO E MARÇO DE 2024.</v>
      </c>
      <c r="F27" s="3" t="s">
        <v>82</v>
      </c>
      <c r="G27" s="6" t="str">
        <f>HYPERLINK("http://www8.mpce.mp.br/Empenhos/150501/NE/2024NE000010.pdf","2024NE000010")</f>
        <v>2024NE000010</v>
      </c>
      <c r="H27" s="7">
        <v>563056.98</v>
      </c>
      <c r="I27" s="8" t="s">
        <v>83</v>
      </c>
      <c r="J27" s="12" t="s">
        <v>84</v>
      </c>
    </row>
    <row r="28" spans="1:10" ht="51" x14ac:dyDescent="0.25">
      <c r="A28" s="2" t="s">
        <v>20</v>
      </c>
      <c r="B28" s="3" t="s">
        <v>21</v>
      </c>
      <c r="C28" s="4" t="str">
        <f>HYPERLINK("http://www8.mpce.mp.br/Inexigibilidade/2903020176.pdf","29030/2017-6")</f>
        <v>29030/2017-6</v>
      </c>
      <c r="D28" s="5">
        <v>45316</v>
      </c>
      <c r="E28" s="9" t="str">
        <f>HYPERLINK("https://www8.mpce.mp.br/Empenhos/150001/Objeto/31-2018.pdf","SERVIÇOS DE SUPORTE NÍVEL 1 DO SISTEMA SAJ-MP POR ESTIMATIVA, CONFORME CONTRATO 031/2018 - PROJETO 052/2023 - REFERENTE AOS MESES DE JANEIRO, FEVEREIRO E MARÇO DE 2024.")</f>
        <v>SERVIÇOS DE SUPORTE NÍVEL 1 DO SISTEMA SAJ-MP POR ESTIMATIVA, CONFORME CONTRATO 031/2018 - PROJETO 052/2023 - REFERENTE AOS MESES DE JANEIRO, FEVEREIRO E MARÇO DE 2024.</v>
      </c>
      <c r="F28" s="3" t="s">
        <v>82</v>
      </c>
      <c r="G28" s="6" t="str">
        <f>HYPERLINK("http://www8.mpce.mp.br/Empenhos/150501/NE/2024NE000010.pdf","2024NE000010")</f>
        <v>2024NE000010</v>
      </c>
      <c r="H28" s="7">
        <v>563056.98</v>
      </c>
      <c r="I28" s="8" t="s">
        <v>83</v>
      </c>
      <c r="J28" s="12" t="s">
        <v>84</v>
      </c>
    </row>
    <row r="29" spans="1:10" ht="51" x14ac:dyDescent="0.25">
      <c r="A29" s="2" t="s">
        <v>20</v>
      </c>
      <c r="B29" s="3" t="s">
        <v>21</v>
      </c>
      <c r="C29" s="4" t="str">
        <f>HYPERLINK("http://www8.mpce.mp.br/Inexigibilidade/2903020176.pdf","29030/2017-6")</f>
        <v>29030/2017-6</v>
      </c>
      <c r="D29" s="5">
        <v>45316</v>
      </c>
      <c r="E29" s="9" t="str">
        <f>HYPERLINK("https://www8.mpce.mp.br/Empenhos/150001/Objeto/31-2018.pdf","SERVIÇOS DE GARANTIA DE EVOLUÇÃO TECNOLÓGICA E FUNCIONAL SAJ-MP POR ESTIMATIVA, CONFORME CONTRATO 031/2018 - PROJETO 052/2023 - REFERENTE AOS MESES DE JANEIRO, FEVEREIRO E MARÇO DE 2024")</f>
        <v>SERVIÇOS DE GARANTIA DE EVOLUÇÃO TECNOLÓGICA E FUNCIONAL SAJ-MP POR ESTIMATIVA, CONFORME CONTRATO 031/2018 - PROJETO 052/2023 - REFERENTE AOS MESES DE JANEIRO, FEVEREIRO E MARÇO DE 2024</v>
      </c>
      <c r="F29" s="3" t="s">
        <v>82</v>
      </c>
      <c r="G29" s="6" t="str">
        <f>HYPERLINK("http://www8.mpce.mp.br/Empenhos/150501/NE/2024NE000011.pdf","2024NE000011")</f>
        <v>2024NE000011</v>
      </c>
      <c r="H29" s="7">
        <v>409439.37</v>
      </c>
      <c r="I29" s="8" t="s">
        <v>83</v>
      </c>
      <c r="J29" s="12" t="s">
        <v>84</v>
      </c>
    </row>
    <row r="30" spans="1:10" ht="51" x14ac:dyDescent="0.25">
      <c r="A30" s="2" t="s">
        <v>20</v>
      </c>
      <c r="B30" s="3" t="s">
        <v>21</v>
      </c>
      <c r="C30" s="4" t="str">
        <f>HYPERLINK("http://www8.mpce.mp.br/Inexigibilidade/2903020176.pdf","29030/2017-6")</f>
        <v>29030/2017-6</v>
      </c>
      <c r="D30" s="5">
        <v>45316</v>
      </c>
      <c r="E30" s="9" t="str">
        <f>HYPERLINK("https://www8.mpce.mp.br/Empenhos/150001/Objeto/31-2018.pdf","SERVIÇOS DE GARANTIA DE EVOLUÇÃO TECNOLÓGICA E FUNCIONAL SAJ-MP POR ESTIMATIVA, CONFORME CONTRATO 031/2018 - PROJETO 052/2023 - REFERENTE AOS MESES DE JANEIRO, FEVEREIRO E MARÇO DE 2024")</f>
        <v>SERVIÇOS DE GARANTIA DE EVOLUÇÃO TECNOLÓGICA E FUNCIONAL SAJ-MP POR ESTIMATIVA, CONFORME CONTRATO 031/2018 - PROJETO 052/2023 - REFERENTE AOS MESES DE JANEIRO, FEVEREIRO E MARÇO DE 2024</v>
      </c>
      <c r="F30" s="3" t="s">
        <v>82</v>
      </c>
      <c r="G30" s="6" t="str">
        <f>HYPERLINK("http://www8.mpce.mp.br/Empenhos/150501/NE/2024NE000011.pdf","2024NE000011")</f>
        <v>2024NE000011</v>
      </c>
      <c r="H30" s="7">
        <v>409439.37</v>
      </c>
      <c r="I30" s="8" t="s">
        <v>83</v>
      </c>
      <c r="J30" s="12" t="s">
        <v>84</v>
      </c>
    </row>
    <row r="31" spans="1:10" ht="51" x14ac:dyDescent="0.25">
      <c r="A31" s="2" t="s">
        <v>20</v>
      </c>
      <c r="B31" s="3" t="s">
        <v>21</v>
      </c>
      <c r="C31" s="4" t="str">
        <f>HYPERLINK("http://www8.mpce.mp.br/Inexigibilidade/2903020176.pdf","29030/2017-6")</f>
        <v>29030/2017-6</v>
      </c>
      <c r="D31" s="5">
        <v>45316</v>
      </c>
      <c r="E31" s="9" t="str">
        <f>HYPERLINK("https://www8.mpce.mp.br/Empenhos/150001/Objeto/31-2018.pdf","SERVIÇOS DE GARANTIA DE EVOLUÇÃO TECNOLÓGICA E FUNCIONAL SAJ-MP POR ESTIMATIVA, CONFORME CONTRATO 031/2018 - PROJETO 052/2023 - REFERENTE AOS MESES DE JANEIRO, FEVEREIRO E MARÇO DE 2024")</f>
        <v>SERVIÇOS DE GARANTIA DE EVOLUÇÃO TECNOLÓGICA E FUNCIONAL SAJ-MP POR ESTIMATIVA, CONFORME CONTRATO 031/2018 - PROJETO 052/2023 - REFERENTE AOS MESES DE JANEIRO, FEVEREIRO E MARÇO DE 2024</v>
      </c>
      <c r="F31" s="3" t="s">
        <v>82</v>
      </c>
      <c r="G31" s="6" t="str">
        <f>HYPERLINK("http://www8.mpce.mp.br/Empenhos/150501/NE/2024NE000011.pdf","2024NE000011")</f>
        <v>2024NE000011</v>
      </c>
      <c r="H31" s="7">
        <v>409439.37</v>
      </c>
      <c r="I31" s="8" t="s">
        <v>83</v>
      </c>
      <c r="J31" s="12" t="s">
        <v>84</v>
      </c>
    </row>
    <row r="32" spans="1:10" ht="51" x14ac:dyDescent="0.25">
      <c r="A32" s="2" t="s">
        <v>20</v>
      </c>
      <c r="B32" s="3" t="s">
        <v>91</v>
      </c>
      <c r="C32" s="4" t="str">
        <f>HYPERLINK("https://transparencia-area-fim.mpce.mp.br/#/consulta/processo/pastadigital/092022000255950","09.2022.00025595-0")</f>
        <v>09.2022.00025595-0</v>
      </c>
      <c r="D32" s="5">
        <v>45317</v>
      </c>
      <c r="E32" s="9" t="str">
        <f>HYPERLINK("https://www8.mpce.mp.br/Empenhos/150001/Objeto/27-2022.pdf","ETAPAS 3 E 4 DE ELABORAÇÃO DE PROJETOS EXPOGRÁFICOSV VOLTADO AO MEMORIAL DO MPCE, ALÉM DE ASSESSORIA P/ SITE, CONFORME CONTRATO 27/2022, POR ESTIMATIVA.")</f>
        <v>ETAPAS 3 E 4 DE ELABORAÇÃO DE PROJETOS EXPOGRÁFICOSV VOLTADO AO MEMORIAL DO MPCE, ALÉM DE ASSESSORIA P/ SITE, CONFORME CONTRATO 27/2022, POR ESTIMATIVA.</v>
      </c>
      <c r="F32" s="3" t="s">
        <v>92</v>
      </c>
      <c r="G32" s="6" t="str">
        <f>HYPERLINK("http://www8.mpce.mp.br/Empenhos/150001/NE/2024NE000011.pdf","2024NE000011")</f>
        <v>2024NE000011</v>
      </c>
      <c r="H32" s="7">
        <v>16000</v>
      </c>
      <c r="I32" s="8" t="s">
        <v>93</v>
      </c>
      <c r="J32" s="12" t="s">
        <v>94</v>
      </c>
    </row>
    <row r="33" spans="1:10" ht="51" x14ac:dyDescent="0.25">
      <c r="A33" s="2" t="s">
        <v>20</v>
      </c>
      <c r="B33" s="3" t="s">
        <v>21</v>
      </c>
      <c r="C33" s="4" t="str">
        <f>HYPERLINK("http://www8.mpce.mp.br/Inexigibilidade/2903020176.pdf","29030/2017-6")</f>
        <v>29030/2017-6</v>
      </c>
      <c r="D33" s="5">
        <v>45316</v>
      </c>
      <c r="E33" s="9" t="str">
        <f>HYPERLINK("https://www8.mpce.mp.br/Empenhos/150001/Objeto/31-2018.pdf","SERVIÇOS DE GARANTIA DE EVOLUÇÃO TECNOLÓGICA E FUNCIONAL SAJ-MP POR ESTIMATIVA, CONFORME CONTRATO 031/2018 - PROJETO 052/2023 - REFERENTE AOS MESES DE JANEIRO, FEVEREIRO E MARÇO DE 2024")</f>
        <v>SERVIÇOS DE GARANTIA DE EVOLUÇÃO TECNOLÓGICA E FUNCIONAL SAJ-MP POR ESTIMATIVA, CONFORME CONTRATO 031/2018 - PROJETO 052/2023 - REFERENTE AOS MESES DE JANEIRO, FEVEREIRO E MARÇO DE 2024</v>
      </c>
      <c r="F33" s="3" t="s">
        <v>82</v>
      </c>
      <c r="G33" s="6" t="str">
        <f>HYPERLINK("http://www8.mpce.mp.br/Empenhos/150501/NE/2024NE000011.pdf","2024NE000011")</f>
        <v>2024NE000011</v>
      </c>
      <c r="H33" s="7">
        <v>409439.37</v>
      </c>
      <c r="I33" s="8" t="s">
        <v>83</v>
      </c>
      <c r="J33" s="12" t="s">
        <v>84</v>
      </c>
    </row>
    <row r="34" spans="1:10" ht="51" x14ac:dyDescent="0.25">
      <c r="A34" s="2" t="s">
        <v>20</v>
      </c>
      <c r="B34" s="3" t="s">
        <v>21</v>
      </c>
      <c r="C34" s="4" t="str">
        <f>HYPERLINK("http://www8.mpce.mp.br/Inexigibilidade/2903020176.pdf","29030/2017-6")</f>
        <v>29030/2017-6</v>
      </c>
      <c r="D34" s="5">
        <v>45316</v>
      </c>
      <c r="E34" s="9" t="str">
        <f>HYPERLINK("https://www8.mpce.mp.br/Empenhos/150001/Objeto/31-2018.pdf","SERVIÇOS DE GARANTIA DE EVOLUÇÃO TECNOLÓGICA E FUNCIONAL SAJ-MP POR ESTIMATIVA, CONFORME CONTRATO 031/2018 - PROJETO 052/2023 - REFERENTE AOS MESES DE JANEIRO, FEVEREIRO E MARÇO DE 2024")</f>
        <v>SERVIÇOS DE GARANTIA DE EVOLUÇÃO TECNOLÓGICA E FUNCIONAL SAJ-MP POR ESTIMATIVA, CONFORME CONTRATO 031/2018 - PROJETO 052/2023 - REFERENTE AOS MESES DE JANEIRO, FEVEREIRO E MARÇO DE 2024</v>
      </c>
      <c r="F34" s="3" t="s">
        <v>82</v>
      </c>
      <c r="G34" s="6" t="str">
        <f>HYPERLINK("http://www8.mpce.mp.br/Empenhos/150501/NE/2024NE000011.pdf","2024NE000011")</f>
        <v>2024NE000011</v>
      </c>
      <c r="H34" s="7">
        <v>409439.37</v>
      </c>
      <c r="I34" s="8" t="s">
        <v>83</v>
      </c>
      <c r="J34" s="12" t="s">
        <v>84</v>
      </c>
    </row>
    <row r="35" spans="1:10" ht="63.75" x14ac:dyDescent="0.25">
      <c r="A35" s="2" t="s">
        <v>20</v>
      </c>
      <c r="B35" s="3" t="s">
        <v>21</v>
      </c>
      <c r="C35" s="4" t="str">
        <f>HYPERLINK("http://www8.mpce.mp.br/Inexigibilidade/2903020176.pdf","29030/2017-6")</f>
        <v>29030/2017-6</v>
      </c>
      <c r="D35" s="5">
        <v>45316</v>
      </c>
      <c r="E35" s="9" t="str">
        <f>HYPERLINK("https://www8.mpce.mp.br/Empenhos/150001/Objeto/31-2018.pdf","SERVIÇOS DE ACOMPANHAMENTO DA OPERAÇÃO E HOSPEDAGEM EM NUVEM SAJ-MP, POR ESTIMATIVA, CONFORME CONTRATO 031/2018 - PROJETO 052/2023 - REFERENTE AOS MESES DE JANEIRO, FEVEREIRO E MARÇO DE 2024")</f>
        <v>SERVIÇOS DE ACOMPANHAMENTO DA OPERAÇÃO E HOSPEDAGEM EM NUVEM SAJ-MP, POR ESTIMATIVA, CONFORME CONTRATO 031/2018 - PROJETO 052/2023 - REFERENTE AOS MESES DE JANEIRO, FEVEREIRO E MARÇO DE 2024</v>
      </c>
      <c r="F35" s="3" t="s">
        <v>82</v>
      </c>
      <c r="G35" s="6" t="str">
        <f>HYPERLINK("http://www8.mpce.mp.br/Empenhos/150501/NE/2024NE000012.pdf","2024NE000012")</f>
        <v>2024NE000012</v>
      </c>
      <c r="H35" s="7">
        <v>493161.21</v>
      </c>
      <c r="I35" s="8" t="s">
        <v>83</v>
      </c>
      <c r="J35" s="12" t="s">
        <v>84</v>
      </c>
    </row>
    <row r="36" spans="1:10" ht="38.25" x14ac:dyDescent="0.25">
      <c r="A36" s="2" t="s">
        <v>20</v>
      </c>
      <c r="B36" s="3" t="s">
        <v>21</v>
      </c>
      <c r="C36" s="4" t="str">
        <f>HYPERLINK("https://transparencia-area-fim.mpce.mp.br/#/consulta/processo/pastadigital/092024000019902","09.2024.00001990-2")</f>
        <v>09.2024.00001990-2</v>
      </c>
      <c r="D36" s="5">
        <v>45317</v>
      </c>
      <c r="E36" s="9" t="s">
        <v>95</v>
      </c>
      <c r="F36" s="3" t="s">
        <v>70</v>
      </c>
      <c r="G36" s="6" t="str">
        <f>HYPERLINK("http://www8.mpce.mp.br/Empenhos/150001/NE/2024NE000012.pdf","2024NE000012")</f>
        <v>2024NE000012</v>
      </c>
      <c r="H36" s="7">
        <v>150</v>
      </c>
      <c r="I36" s="8" t="s">
        <v>96</v>
      </c>
      <c r="J36" s="12" t="s">
        <v>97</v>
      </c>
    </row>
    <row r="37" spans="1:10" ht="63.75" x14ac:dyDescent="0.25">
      <c r="A37" s="2" t="s">
        <v>20</v>
      </c>
      <c r="B37" s="3" t="s">
        <v>21</v>
      </c>
      <c r="C37" s="4" t="str">
        <f>HYPERLINK("http://www8.mpce.mp.br/Inexigibilidade/2903020176.pdf","29030/2017-6")</f>
        <v>29030/2017-6</v>
      </c>
      <c r="D37" s="5">
        <v>45316</v>
      </c>
      <c r="E37" s="9" t="str">
        <f>HYPERLINK("https://www8.mpce.mp.br/Empenhos/150001/Objeto/31-2018.pdf","SERVIÇOS DE ACOMPANHAMENTO DA OPERAÇÃO E HOSPEDAGEM EM NUVEM SAJ-MP, POR ESTIMATIVA, CONFORME CONTRATO 031/2018 - PROJETO 052/2023 - REFERENTE AOS MESES DE JANEIRO, FEVEREIRO E MARÇO DE 2024")</f>
        <v>SERVIÇOS DE ACOMPANHAMENTO DA OPERAÇÃO E HOSPEDAGEM EM NUVEM SAJ-MP, POR ESTIMATIVA, CONFORME CONTRATO 031/2018 - PROJETO 052/2023 - REFERENTE AOS MESES DE JANEIRO, FEVEREIRO E MARÇO DE 2024</v>
      </c>
      <c r="F37" s="3" t="s">
        <v>82</v>
      </c>
      <c r="G37" s="6" t="str">
        <f>HYPERLINK("http://www8.mpce.mp.br/Empenhos/150501/NE/2024NE000012.pdf","2024NE000012")</f>
        <v>2024NE000012</v>
      </c>
      <c r="H37" s="7">
        <v>493161.21</v>
      </c>
      <c r="I37" s="8" t="s">
        <v>83</v>
      </c>
      <c r="J37" s="12" t="s">
        <v>84</v>
      </c>
    </row>
    <row r="38" spans="1:10" ht="63.75" x14ac:dyDescent="0.25">
      <c r="A38" s="2" t="s">
        <v>20</v>
      </c>
      <c r="B38" s="3" t="s">
        <v>21</v>
      </c>
      <c r="C38" s="4" t="str">
        <f>HYPERLINK("http://www8.mpce.mp.br/Inexigibilidade/2903020176.pdf","29030/2017-6")</f>
        <v>29030/2017-6</v>
      </c>
      <c r="D38" s="5">
        <v>45316</v>
      </c>
      <c r="E38" s="9" t="str">
        <f>HYPERLINK("https://www8.mpce.mp.br/Empenhos/150001/Objeto/31-2018.pdf","SERVIÇOS DE ACOMPANHAMENTO DA OPERAÇÃO E HOSPEDAGEM EM NUVEM SAJ-MP, POR ESTIMATIVA, CONFORME CONTRATO 031/2018 - PROJETO 052/2023 - REFERENTE AOS MESES DE JANEIRO, FEVEREIRO E MARÇO DE 2024")</f>
        <v>SERVIÇOS DE ACOMPANHAMENTO DA OPERAÇÃO E HOSPEDAGEM EM NUVEM SAJ-MP, POR ESTIMATIVA, CONFORME CONTRATO 031/2018 - PROJETO 052/2023 - REFERENTE AOS MESES DE JANEIRO, FEVEREIRO E MARÇO DE 2024</v>
      </c>
      <c r="F38" s="3" t="s">
        <v>82</v>
      </c>
      <c r="G38" s="6" t="str">
        <f>HYPERLINK("http://www8.mpce.mp.br/Empenhos/150501/NE/2024NE000012.pdf","2024NE000012")</f>
        <v>2024NE000012</v>
      </c>
      <c r="H38" s="7">
        <v>493161.21</v>
      </c>
      <c r="I38" s="8" t="s">
        <v>83</v>
      </c>
      <c r="J38" s="12" t="s">
        <v>84</v>
      </c>
    </row>
    <row r="39" spans="1:10" ht="63.75" x14ac:dyDescent="0.25">
      <c r="A39" s="2" t="s">
        <v>20</v>
      </c>
      <c r="B39" s="3" t="s">
        <v>21</v>
      </c>
      <c r="C39" s="4" t="str">
        <f>HYPERLINK("http://www8.mpce.mp.br/Inexigibilidade/2903020176.pdf","29030/2017-6")</f>
        <v>29030/2017-6</v>
      </c>
      <c r="D39" s="5">
        <v>45316</v>
      </c>
      <c r="E39" s="9" t="str">
        <f>HYPERLINK("https://www8.mpce.mp.br/Empenhos/150001/Objeto/31-2018.pdf","SERVIÇOS DE ACOMPANHAMENTO DA OPERAÇÃO E HOSPEDAGEM EM NUVEM SAJ-MP, POR ESTIMATIVA, CONFORME CONTRATO 031/2018 - PROJETO 052/2023 - REFERENTE AOS MESES DE JANEIRO, FEVEREIRO E MARÇO DE 2024")</f>
        <v>SERVIÇOS DE ACOMPANHAMENTO DA OPERAÇÃO E HOSPEDAGEM EM NUVEM SAJ-MP, POR ESTIMATIVA, CONFORME CONTRATO 031/2018 - PROJETO 052/2023 - REFERENTE AOS MESES DE JANEIRO, FEVEREIRO E MARÇO DE 2024</v>
      </c>
      <c r="F39" s="3" t="s">
        <v>82</v>
      </c>
      <c r="G39" s="6" t="str">
        <f>HYPERLINK("http://www8.mpce.mp.br/Empenhos/150501/NE/2024NE000012.pdf","2024NE000012")</f>
        <v>2024NE000012</v>
      </c>
      <c r="H39" s="7">
        <v>493161.21</v>
      </c>
      <c r="I39" s="8" t="s">
        <v>83</v>
      </c>
      <c r="J39" s="12" t="s">
        <v>84</v>
      </c>
    </row>
    <row r="40" spans="1:10" ht="63.75" x14ac:dyDescent="0.25">
      <c r="A40" s="2" t="s">
        <v>20</v>
      </c>
      <c r="B40" s="3" t="s">
        <v>21</v>
      </c>
      <c r="C40" s="4" t="str">
        <f>HYPERLINK("http://www8.mpce.mp.br/Inexigibilidade/2903020176.pdf","29030/2017-6")</f>
        <v>29030/2017-6</v>
      </c>
      <c r="D40" s="5">
        <v>45316</v>
      </c>
      <c r="E40" s="9" t="str">
        <f>HYPERLINK("https://www8.mpce.mp.br/Empenhos/150001/Objeto/31-2018.pdf","SERVIÇOS DE ACOMPANHAMENTO DA OPERAÇÃO E HOSPEDAGEM EM NUVEM SAJ-MP, POR ESTIMATIVA, CONFORME CONTRATO 031/2018 - PROJETO 052/2023 - REFERENTE AOS MESES DE JANEIRO, FEVEREIRO E MARÇO DE 2024")</f>
        <v>SERVIÇOS DE ACOMPANHAMENTO DA OPERAÇÃO E HOSPEDAGEM EM NUVEM SAJ-MP, POR ESTIMATIVA, CONFORME CONTRATO 031/2018 - PROJETO 052/2023 - REFERENTE AOS MESES DE JANEIRO, FEVEREIRO E MARÇO DE 2024</v>
      </c>
      <c r="F40" s="3" t="s">
        <v>82</v>
      </c>
      <c r="G40" s="6" t="str">
        <f>HYPERLINK("http://www8.mpce.mp.br/Empenhos/150501/NE/2024NE000012.pdf","2024NE000012")</f>
        <v>2024NE000012</v>
      </c>
      <c r="H40" s="7">
        <v>493161.21</v>
      </c>
      <c r="I40" s="8" t="s">
        <v>83</v>
      </c>
      <c r="J40" s="12" t="s">
        <v>84</v>
      </c>
    </row>
    <row r="41" spans="1:10" ht="38.25" x14ac:dyDescent="0.25">
      <c r="A41" s="2" t="s">
        <v>45</v>
      </c>
      <c r="B41" s="3" t="s">
        <v>98</v>
      </c>
      <c r="C41" s="4" t="str">
        <f>HYPERLINK("https://transparencia-area-fim.mpce.mp.br/#/consulta/processo/pastadigital/092020000071437","09.2020.00007143-7")</f>
        <v>09.2020.00007143-7</v>
      </c>
      <c r="D41" s="5">
        <v>45317</v>
      </c>
      <c r="E41" s="9" t="str">
        <f>HYPERLINK("https://www8.mpce.mp.br/Empenhos/150001/Objeto/23-2020.pdf","SERVIÇOS DE CORREIOS , POR ESTIMATIVA, RELATIVOS AOS MESES DE JANEIRO A MARÇO/2024, CONFORME CONTRATO 023/202")</f>
        <v>SERVIÇOS DE CORREIOS , POR ESTIMATIVA, RELATIVOS AOS MESES DE JANEIRO A MARÇO/2024, CONFORME CONTRATO 023/202</v>
      </c>
      <c r="F41" s="3" t="s">
        <v>99</v>
      </c>
      <c r="G41" s="6" t="str">
        <f>HYPERLINK("http://www8.mpce.mp.br/Empenhos/150001/NE/2024NE000013.pdf","2024NE000013")</f>
        <v>2024NE000013</v>
      </c>
      <c r="H41" s="7">
        <v>60000</v>
      </c>
      <c r="I41" s="8" t="s">
        <v>100</v>
      </c>
      <c r="J41" s="12" t="s">
        <v>101</v>
      </c>
    </row>
    <row r="42" spans="1:10" ht="38.25" x14ac:dyDescent="0.25">
      <c r="A42" s="2" t="s">
        <v>20</v>
      </c>
      <c r="B42" s="3" t="s">
        <v>21</v>
      </c>
      <c r="C42" s="4" t="str">
        <f>HYPERLINK("https://transparencia-area-fim.mpce.mp.br/#/consulta/processo/pastadigital/092024000019746","09.2024.00001974-6")</f>
        <v>09.2024.00001974-6</v>
      </c>
      <c r="D42" s="5">
        <v>45317</v>
      </c>
      <c r="E42" s="9" t="s">
        <v>102</v>
      </c>
      <c r="F42" s="3" t="s">
        <v>70</v>
      </c>
      <c r="G42" s="6" t="str">
        <f>HYPERLINK("http://www8.mpce.mp.br/Empenhos/150001/NE/2024NE000015.pdf","2024NE000015")</f>
        <v>2024NE000015</v>
      </c>
      <c r="H42" s="7">
        <v>117.84</v>
      </c>
      <c r="I42" s="8" t="s">
        <v>103</v>
      </c>
      <c r="J42" s="12" t="s">
        <v>104</v>
      </c>
    </row>
    <row r="43" spans="1:10" ht="38.25" x14ac:dyDescent="0.25">
      <c r="A43" s="2" t="s">
        <v>20</v>
      </c>
      <c r="B43" s="3" t="s">
        <v>21</v>
      </c>
      <c r="C43" s="4" t="str">
        <f>HYPERLINK("https://transparencia-area-fim.mpce.mp.br/#/consulta/processo/pastadigital/092024000019790","09.2024.00001979-0")</f>
        <v>09.2024.00001979-0</v>
      </c>
      <c r="D43" s="5">
        <v>45317</v>
      </c>
      <c r="E43" s="9" t="s">
        <v>105</v>
      </c>
      <c r="F43" s="3" t="s">
        <v>70</v>
      </c>
      <c r="G43" s="6" t="str">
        <f>HYPERLINK("http://www8.mpce.mp.br/Empenhos/150001/NE/2024NE000016.pdf","2024NE000016")</f>
        <v>2024NE000016</v>
      </c>
      <c r="H43" s="7">
        <v>1200</v>
      </c>
      <c r="I43" s="8" t="s">
        <v>106</v>
      </c>
      <c r="J43" s="12" t="s">
        <v>107</v>
      </c>
    </row>
    <row r="44" spans="1:10" ht="38.25" x14ac:dyDescent="0.25">
      <c r="A44" s="2" t="s">
        <v>20</v>
      </c>
      <c r="B44" s="3" t="s">
        <v>21</v>
      </c>
      <c r="C44" s="4" t="str">
        <f>HYPERLINK("https://transparencia-area-fim.mpce.mp.br/#/consulta/processo/pastadigital/092024000020575","09.2024.00002057-5")</f>
        <v>09.2024.00002057-5</v>
      </c>
      <c r="D44" s="5">
        <v>45317</v>
      </c>
      <c r="E44" s="9" t="s">
        <v>108</v>
      </c>
      <c r="F44" s="3" t="s">
        <v>70</v>
      </c>
      <c r="G44" s="6" t="str">
        <f>HYPERLINK("http://www8.mpce.mp.br/Empenhos/150001/NE/2024NE000017.pdf","2024NE000017")</f>
        <v>2024NE000017</v>
      </c>
      <c r="H44" s="7">
        <v>3000</v>
      </c>
      <c r="I44" s="8" t="s">
        <v>109</v>
      </c>
      <c r="J44" s="12" t="s">
        <v>110</v>
      </c>
    </row>
    <row r="45" spans="1:10" ht="38.25" x14ac:dyDescent="0.25">
      <c r="A45" s="2" t="s">
        <v>20</v>
      </c>
      <c r="B45" s="3" t="s">
        <v>21</v>
      </c>
      <c r="C45" s="4" t="str">
        <f>HYPERLINK("https://transparencia-area-fim.mpce.mp.br/#/consulta/processo/pastadigital/092024000020597","09.2024.00002059-7")</f>
        <v>09.2024.00002059-7</v>
      </c>
      <c r="D45" s="5">
        <v>45316</v>
      </c>
      <c r="E45" s="9" t="s">
        <v>111</v>
      </c>
      <c r="F45" s="3" t="s">
        <v>70</v>
      </c>
      <c r="G45" s="6" t="str">
        <f>HYPERLINK("http://www8.mpce.mp.br/Empenhos/150001/NE/2024NE000018.pdf","2024NE000018")</f>
        <v>2024NE000018</v>
      </c>
      <c r="H45" s="7">
        <v>450</v>
      </c>
      <c r="I45" s="8" t="s">
        <v>112</v>
      </c>
      <c r="J45" s="12" t="s">
        <v>113</v>
      </c>
    </row>
    <row r="46" spans="1:10" ht="51" x14ac:dyDescent="0.25">
      <c r="A46" s="2" t="s">
        <v>20</v>
      </c>
      <c r="B46" s="3" t="s">
        <v>21</v>
      </c>
      <c r="C46" s="4" t="str">
        <f>HYPERLINK("https://transparencia-area-fim.mpce.mp.br/#/consulta/processo/pastadigital/092024000020609","09.2024.00002060-9")</f>
        <v>09.2024.00002060-9</v>
      </c>
      <c r="D46" s="5">
        <v>45316</v>
      </c>
      <c r="E46" s="9" t="s">
        <v>114</v>
      </c>
      <c r="F46" s="3" t="s">
        <v>70</v>
      </c>
      <c r="G46" s="6" t="str">
        <f>HYPERLINK("http://www8.mpce.mp.br/Empenhos/150001/NE/2024NE000019.pdf","2024NE000019")</f>
        <v>2024NE000019</v>
      </c>
      <c r="H46" s="7">
        <v>135000</v>
      </c>
      <c r="I46" s="8" t="s">
        <v>115</v>
      </c>
      <c r="J46" s="12" t="s">
        <v>116</v>
      </c>
    </row>
    <row r="47" spans="1:10" ht="38.25" x14ac:dyDescent="0.25">
      <c r="A47" s="2" t="s">
        <v>20</v>
      </c>
      <c r="B47" s="3" t="s">
        <v>21</v>
      </c>
      <c r="C47" s="4" t="str">
        <f>HYPERLINK("https://transparencia-area-fim.mpce.mp.br/#/consulta/processo/pastadigital/092024000019880","09.2024.00001988-0")</f>
        <v>09.2024.00001988-0</v>
      </c>
      <c r="D47" s="5">
        <v>45316</v>
      </c>
      <c r="E47" s="9" t="s">
        <v>117</v>
      </c>
      <c r="F47" s="3" t="s">
        <v>70</v>
      </c>
      <c r="G47" s="6" t="str">
        <f>HYPERLINK("http://www8.mpce.mp.br/Empenhos/150001/NE/2024NE000020.pdf","2024NE000020")</f>
        <v>2024NE000020</v>
      </c>
      <c r="H47" s="7">
        <v>450</v>
      </c>
      <c r="I47" s="8" t="s">
        <v>118</v>
      </c>
      <c r="J47" s="12" t="s">
        <v>119</v>
      </c>
    </row>
    <row r="48" spans="1:10" ht="63.75" x14ac:dyDescent="0.25">
      <c r="A48" s="2" t="s">
        <v>20</v>
      </c>
      <c r="B48" s="3" t="s">
        <v>21</v>
      </c>
      <c r="C48" s="4" t="str">
        <f>HYPERLINK("https://transparencia-area-fim.mpce.mp.br/#/consulta/processo/pastadigital/092023000287946","09.2023.00028794-6")</f>
        <v>09.2023.00028794-6</v>
      </c>
      <c r="D48" s="5">
        <v>45320</v>
      </c>
      <c r="E48" s="9" t="str">
        <f>HYPERLINK("https://www8.mpce.mp.br/Empenhos/150001/Objeto/59-2023.pdf","LICENÇAS DE SOFTWARE, CICLO DE AVALIAÇÃO(PARCELA UNICA) E SKILLING DE RECURSOS DE APRENDIZAGEM(PARCELA UNICA), CONFORME CONTRATO 059/2023, POR ESTIMATIVA PARA OS MESES DE JANEIRO A MARÇO/2024. PROJETO 65/2023.")</f>
        <v>LICENÇAS DE SOFTWARE, CICLO DE AVALIAÇÃO(PARCELA UNICA) E SKILLING DE RECURSOS DE APRENDIZAGEM(PARCELA UNICA), CONFORME CONTRATO 059/2023, POR ESTIMATIVA PARA OS MESES DE JANEIRO A MARÇO/2024. PROJETO 65/2023.</v>
      </c>
      <c r="F48" s="3" t="s">
        <v>120</v>
      </c>
      <c r="G48" s="6" t="str">
        <f>HYPERLINK("http://www8.mpce.mp.br/Empenhos/150501/NE/2024NE000021.pdf","2024NE000021")</f>
        <v>2024NE000021</v>
      </c>
      <c r="H48" s="7">
        <v>38594.5</v>
      </c>
      <c r="I48" s="8" t="s">
        <v>121</v>
      </c>
      <c r="J48" s="12" t="s">
        <v>122</v>
      </c>
    </row>
    <row r="49" spans="1:10" ht="63.75" x14ac:dyDescent="0.25">
      <c r="A49" s="2" t="s">
        <v>20</v>
      </c>
      <c r="B49" s="3" t="s">
        <v>123</v>
      </c>
      <c r="C49" s="4" t="str">
        <f>HYPERLINK("https://transparencia-area-fim.mpce.mp.br/#/consulta/processo/pastadigital/092023000079630","09.2023.00007963-0")</f>
        <v>09.2023.00007963-0</v>
      </c>
      <c r="D49" s="5">
        <v>45322</v>
      </c>
      <c r="E49" s="9" t="str">
        <f>HYPERLINK("https://www8.mpce.mp.br/Empenhos/150001/Objeto/15-2023.pdf","ASSINATURAS PARA ACESSO AS BASES DE CONHENCIMENTOS, LICENÇAS DE SOFTWARES CONFORME CONTRATO 15/2023, PROJETO 28/2023 ,RELATIVOS AOS MESES  DE JANEIRO, FEVEREIRO E MARÇO DE 2024.POR ESTIMATIVA ")</f>
        <v xml:space="preserve">ASSINATURAS PARA ACESSO AS BASES DE CONHENCIMENTOS, LICENÇAS DE SOFTWARES CONFORME CONTRATO 15/2023, PROJETO 28/2023 ,RELATIVOS AOS MESES  DE JANEIRO, FEVEREIRO E MARÇO DE 2024.POR ESTIMATIVA </v>
      </c>
      <c r="F49" s="3" t="s">
        <v>120</v>
      </c>
      <c r="G49" s="6" t="str">
        <f>HYPERLINK("http://www8.mpce.mp.br/Empenhos/150501/NE/2024NE000026.pdf","2024NE000026")</f>
        <v>2024NE000026</v>
      </c>
      <c r="H49" s="7">
        <v>186951</v>
      </c>
      <c r="I49" s="8" t="s">
        <v>124</v>
      </c>
      <c r="J49" s="12" t="s">
        <v>125</v>
      </c>
    </row>
    <row r="50" spans="1:10" ht="51" x14ac:dyDescent="0.25">
      <c r="A50" s="2" t="s">
        <v>45</v>
      </c>
      <c r="B50" s="3" t="s">
        <v>126</v>
      </c>
      <c r="C50" s="4" t="str">
        <f>HYPERLINK("http://www8.mpce.mp.br/Dispensa/CL0012003.pdf","CL001/2003")</f>
        <v>CL001/2003</v>
      </c>
      <c r="D50" s="5">
        <v>45323</v>
      </c>
      <c r="E50" s="9" t="str">
        <f>HYPERLINK("https://www8.mpce.mp.br/Empenhos/150001/Objeto/01-2003.pdf","LOCAÇÃO DE IMÓVEL ONDE FUNCIONA O ARQUIVO GERAL DESTE MP-CE , POR ESTIMATIVA REFERENTE AOS MESES DE JANEIRO E FEVEREIRO DE 2024.")</f>
        <v>LOCAÇÃO DE IMÓVEL ONDE FUNCIONA O ARQUIVO GERAL DESTE MP-CE , POR ESTIMATIVA REFERENTE AOS MESES DE JANEIRO E FEVEREIRO DE 2024.</v>
      </c>
      <c r="F50" s="3" t="s">
        <v>127</v>
      </c>
      <c r="G50" s="6" t="str">
        <f>HYPERLINK("http://www8.mpce.mp.br/Empenhos/150501/NE/2024NE000032.pdf","2024NE000032")</f>
        <v>2024NE000032</v>
      </c>
      <c r="H50" s="7">
        <v>2100</v>
      </c>
      <c r="I50" s="8" t="s">
        <v>128</v>
      </c>
      <c r="J50" s="12" t="s">
        <v>129</v>
      </c>
    </row>
    <row r="51" spans="1:10" ht="38.25" x14ac:dyDescent="0.25">
      <c r="A51" s="2" t="s">
        <v>45</v>
      </c>
      <c r="B51" s="3" t="s">
        <v>130</v>
      </c>
      <c r="C51" s="4" t="str">
        <f>HYPERLINK("http://www8.mpce.mp.br/Dispensa/1721020046.pdf","17210/2004-6")</f>
        <v>17210/2004-6</v>
      </c>
      <c r="D51" s="5">
        <v>45323</v>
      </c>
      <c r="E51" s="9" t="str">
        <f>HYPERLINK("https://www8.mpce.mp.br/Empenhos/150001/Objeto/02-2004.pdf","LOCAÇÃO DE IMÓVEL A RUA BARÃO DE ARATANHA,100-CENTRO RELATIVOS AOS MESES DE JANEIRO A MARÇO DE 2024, POR ESTIMATIVA.CONTRATO 02/2004.")</f>
        <v>LOCAÇÃO DE IMÓVEL A RUA BARÃO DE ARATANHA,100-CENTRO RELATIVOS AOS MESES DE JANEIRO A MARÇO DE 2024, POR ESTIMATIVA.CONTRATO 02/2004.</v>
      </c>
      <c r="F51" s="3" t="s">
        <v>127</v>
      </c>
      <c r="G51" s="6" t="str">
        <f>HYPERLINK("http://www8.mpce.mp.br/Empenhos/150501/NE/2024NE000033.pdf","2024NE000033")</f>
        <v>2024NE000033</v>
      </c>
      <c r="H51" s="7">
        <v>107369.1</v>
      </c>
      <c r="I51" s="8" t="s">
        <v>131</v>
      </c>
      <c r="J51" s="12" t="s">
        <v>132</v>
      </c>
    </row>
    <row r="52" spans="1:10" ht="51" x14ac:dyDescent="0.25">
      <c r="A52" s="2" t="s">
        <v>45</v>
      </c>
      <c r="B52" s="3" t="s">
        <v>133</v>
      </c>
      <c r="C52" s="4" t="str">
        <f>HYPERLINK("https://transparencia-area-fim.mpce.mp.br/#/consulta/processo/pastadigital/092022000197876","09.2022.00019787-6")</f>
        <v>09.2022.00019787-6</v>
      </c>
      <c r="D52" s="5">
        <v>45323</v>
      </c>
      <c r="E52" s="9" t="str">
        <f>HYPERLINK("https://www8.mpce.mp.br/Empenhos/150001/Objeto/02-2023.pdf","LOCAÇÃO DE IMÓVEL, POR ESTIMATIVA REFERENTE AOS MES DE JANEIRO /2024 DO IMÓVEL ONDE FUNCIONA O NUCLEO DE MEDIAÇÃO COMUNITÁRIA, AV OSCAR ARARIPE 1030-BOM JARDIM, CONTRATO 02/2023.")</f>
        <v>LOCAÇÃO DE IMÓVEL, POR ESTIMATIVA REFERENTE AOS MES DE JANEIRO /2024 DO IMÓVEL ONDE FUNCIONA O NUCLEO DE MEDIAÇÃO COMUNITÁRIA, AV OSCAR ARARIPE 1030-BOM JARDIM, CONTRATO 02/2023.</v>
      </c>
      <c r="F52" s="3" t="s">
        <v>127</v>
      </c>
      <c r="G52" s="6" t="str">
        <f>HYPERLINK("http://www8.mpce.mp.br/Empenhos/150501/NE/2024NE000034.pdf","2024NE000034")</f>
        <v>2024NE000034</v>
      </c>
      <c r="H52" s="7">
        <v>5600</v>
      </c>
      <c r="I52" s="8" t="s">
        <v>134</v>
      </c>
      <c r="J52" s="12" t="s">
        <v>135</v>
      </c>
    </row>
    <row r="53" spans="1:10" ht="38.25" x14ac:dyDescent="0.25">
      <c r="A53" s="2" t="s">
        <v>45</v>
      </c>
      <c r="B53" s="3" t="s">
        <v>136</v>
      </c>
      <c r="C53" s="4" t="str">
        <f>HYPERLINK("http://www8.mpce.mp.br/Dispensa/48729162.pdf","48729/16-2")</f>
        <v>48729/16-2</v>
      </c>
      <c r="D53" s="5">
        <v>45323</v>
      </c>
      <c r="E53" s="9" t="str">
        <f>HYPERLINK("https://www8.mpce.mp.br/Empenhos/150001/Objeto/06-2017.pdf","LOCAÇÃO DE IMÓVEL DOS MES DE JANEIRO  DE 2024, POR ESTIMATIVA, CONFORME CONTRATO 06/2017, PROMOTORIAS CÍVEIS.")</f>
        <v>LOCAÇÃO DE IMÓVEL DOS MES DE JANEIRO  DE 2024, POR ESTIMATIVA, CONFORME CONTRATO 06/2017, PROMOTORIAS CÍVEIS.</v>
      </c>
      <c r="F53" s="3" t="s">
        <v>127</v>
      </c>
      <c r="G53" s="6" t="str">
        <f>HYPERLINK("http://www8.mpce.mp.br/Empenhos/150501/NE/2024NE000036.pdf","2024NE000036")</f>
        <v>2024NE000036</v>
      </c>
      <c r="H53" s="7">
        <v>114746.91</v>
      </c>
      <c r="I53" s="8" t="s">
        <v>137</v>
      </c>
      <c r="J53" s="12" t="s">
        <v>138</v>
      </c>
    </row>
    <row r="54" spans="1:10" ht="38.25" x14ac:dyDescent="0.25">
      <c r="A54" s="2" t="s">
        <v>45</v>
      </c>
      <c r="B54" s="3" t="s">
        <v>139</v>
      </c>
      <c r="C54" s="4" t="str">
        <f>HYPERLINK("https://transparencia-area-fim.mpce.mp.br/#/consulta/processo/pastadigital/092022000343751","09.2022.00034375-1")</f>
        <v>09.2022.00034375-1</v>
      </c>
      <c r="D54" s="5">
        <v>45323</v>
      </c>
      <c r="E54" s="9" t="str">
        <f>HYPERLINK("https://www8.mpce.mp.br/Empenhos/150001/Objeto/08-2023.pdf","LOCAÇÃO DE IMÓVEIS ONDE FUNCIONAM AS PROMOTORIAS DE JUSTIÇA DE QUIXERAMOBIM, CONTRATO 008/2023/PGJ, REFERENTE AOS MESES DE JAN/2024 - POR ESTIMATIVA")</f>
        <v>LOCAÇÃO DE IMÓVEIS ONDE FUNCIONAM AS PROMOTORIAS DE JUSTIÇA DE QUIXERAMOBIM, CONTRATO 008/2023/PGJ, REFERENTE AOS MESES DE JAN/2024 - POR ESTIMATIVA</v>
      </c>
      <c r="F54" s="3" t="s">
        <v>127</v>
      </c>
      <c r="G54" s="6" t="str">
        <f>HYPERLINK("http://www8.mpce.mp.br/Empenhos/150501/NE/2024NE000037.pdf","2024NE000037")</f>
        <v>2024NE000037</v>
      </c>
      <c r="H54" s="7">
        <v>14180</v>
      </c>
      <c r="I54" s="8" t="s">
        <v>140</v>
      </c>
      <c r="J54" s="12" t="s">
        <v>141</v>
      </c>
    </row>
    <row r="55" spans="1:10" ht="38.25" x14ac:dyDescent="0.25">
      <c r="A55" s="2" t="s">
        <v>45</v>
      </c>
      <c r="B55" s="3" t="s">
        <v>142</v>
      </c>
      <c r="C55" s="4" t="str">
        <f>HYPERLINK("https://transparencia-area-fim.mpce.mp.br/#/consulta/processo/pastadigital/092021000244449","09.2021.00024444-9")</f>
        <v>09.2021.00024444-9</v>
      </c>
      <c r="D55" s="5">
        <v>45323</v>
      </c>
      <c r="E55" s="9" t="str">
        <f>HYPERLINK("https://www8.mpce.mp.br/Empenhos/150001/Objeto/12-2022.pdf","LOCAÇÃO DE IMÓVEIS ONDE FUNCIONAM AS PROMOTORIAS DE JUSTIÇA DE RUSSAS, CONTRATO 012/2022/PGJ, REFERENTE AOS MES DE JAN/2024 - POR ESTIMATIVA")</f>
        <v>LOCAÇÃO DE IMÓVEIS ONDE FUNCIONAM AS PROMOTORIAS DE JUSTIÇA DE RUSSAS, CONTRATO 012/2022/PGJ, REFERENTE AOS MES DE JAN/2024 - POR ESTIMATIVA</v>
      </c>
      <c r="F55" s="3" t="s">
        <v>127</v>
      </c>
      <c r="G55" s="6" t="str">
        <f>HYPERLINK("http://www8.mpce.mp.br/Empenhos/150501/NE/2024NE000038.pdf","2024NE000038")</f>
        <v>2024NE000038</v>
      </c>
      <c r="H55" s="7">
        <v>20900</v>
      </c>
      <c r="I55" s="8" t="s">
        <v>140</v>
      </c>
      <c r="J55" s="12" t="s">
        <v>141</v>
      </c>
    </row>
    <row r="56" spans="1:10" ht="38.25" x14ac:dyDescent="0.25">
      <c r="A56" s="2" t="s">
        <v>45</v>
      </c>
      <c r="B56" s="3" t="s">
        <v>142</v>
      </c>
      <c r="C56" s="4" t="str">
        <f>HYPERLINK("https://transparencia-area-fim.mpce.mp.br/#/consulta/processo/pastadigital/092022000081432","09.2022.00008143-2")</f>
        <v>09.2022.00008143-2</v>
      </c>
      <c r="D56" s="5">
        <v>45323</v>
      </c>
      <c r="E56" s="9" t="str">
        <f>HYPERLINK("https://www8.mpce.mp.br/Empenhos/150001/Objeto/16-2022.pdf","LOCAÇÃO DE IMÓVEIS ONDE FUNCIONAM AS PROMOTORIAS DE JUSTIÇA DE BARBALHA, CONTRATO 016/2022/PGJ, REFERENTE AOS MES JAN /2024.")</f>
        <v>LOCAÇÃO DE IMÓVEIS ONDE FUNCIONAM AS PROMOTORIAS DE JUSTIÇA DE BARBALHA, CONTRATO 016/2022/PGJ, REFERENTE AOS MES JAN /2024.</v>
      </c>
      <c r="F56" s="3" t="s">
        <v>127</v>
      </c>
      <c r="G56" s="6" t="str">
        <f>HYPERLINK("http://www8.mpce.mp.br/Empenhos/150501/NE/2024NE000039.pdf","2024NE000039")</f>
        <v>2024NE000039</v>
      </c>
      <c r="H56" s="7">
        <v>16434.259999999998</v>
      </c>
      <c r="I56" s="8" t="s">
        <v>143</v>
      </c>
      <c r="J56" s="12" t="s">
        <v>144</v>
      </c>
    </row>
    <row r="57" spans="1:10" ht="38.25" x14ac:dyDescent="0.25">
      <c r="A57" s="2" t="s">
        <v>45</v>
      </c>
      <c r="B57" s="3" t="s">
        <v>142</v>
      </c>
      <c r="C57" s="4" t="str">
        <f>HYPERLINK("https://transparencia-area-fim.mpce.mp.br/#/consulta/processo/pastadigital/092021000244282","09.2021.00024428-2")</f>
        <v>09.2021.00024428-2</v>
      </c>
      <c r="D57" s="5">
        <v>45323</v>
      </c>
      <c r="E57" s="9" t="str">
        <f>HYPERLINK("https://www8.mpce.mp.br/Empenhos/150001/Objeto/18-2022.pdf","LOCAÇÃO DE IMÓVEIS ONDE FUNCIONAM AS PROMOTORIAS DE JUSTIÇA DE CRATEÚS, CONTRATO 018/2022/PGJ, REFERENTE AO MÊS DE JAN/2024")</f>
        <v>LOCAÇÃO DE IMÓVEIS ONDE FUNCIONAM AS PROMOTORIAS DE JUSTIÇA DE CRATEÚS, CONTRATO 018/2022/PGJ, REFERENTE AO MÊS DE JAN/2024</v>
      </c>
      <c r="F57" s="3" t="s">
        <v>127</v>
      </c>
      <c r="G57" s="6" t="str">
        <f>HYPERLINK("http://www8.mpce.mp.br/Empenhos/150501/NE/2024NE000041.pdf","2024NE000041")</f>
        <v>2024NE000041</v>
      </c>
      <c r="H57" s="7">
        <v>26000.1</v>
      </c>
      <c r="I57" s="8" t="s">
        <v>145</v>
      </c>
      <c r="J57" s="12" t="s">
        <v>146</v>
      </c>
    </row>
    <row r="58" spans="1:10" ht="51" x14ac:dyDescent="0.25">
      <c r="A58" s="2" t="s">
        <v>45</v>
      </c>
      <c r="B58" s="3" t="s">
        <v>147</v>
      </c>
      <c r="C58" s="4" t="str">
        <f>HYPERLINK("http://www8.mpce.mp.br/Dispensa/405320185.pdf","4053/2018-5")</f>
        <v>4053/2018-5</v>
      </c>
      <c r="D58" s="5">
        <v>45320</v>
      </c>
      <c r="E58" s="9" t="str">
        <f>HYPERLINK("https://www8.mpce.mp.br/Empenhos/150001/Objeto/35-2018.pdf","MANUTENÇÃO DE ELEVADRO NO PRÉDIO DA RUA PHILOMENO GOMES, CONFORME CONTRATO 035/2018, POR ESTIMATIVA, RELATIVO AOS MESES DE JANEIRO A MARÇO/2024.")</f>
        <v>MANUTENÇÃO DE ELEVADRO NO PRÉDIO DA RUA PHILOMENO GOMES, CONFORME CONTRATO 035/2018, POR ESTIMATIVA, RELATIVO AOS MESES DE JANEIRO A MARÇO/2024.</v>
      </c>
      <c r="F58" s="3" t="s">
        <v>148</v>
      </c>
      <c r="G58" s="6" t="str">
        <f>HYPERLINK("http://www8.mpce.mp.br/Empenhos/150001/NE/2024NE000042.pdf","2024NE000042")</f>
        <v>2024NE000042</v>
      </c>
      <c r="H58" s="7">
        <v>2850</v>
      </c>
      <c r="I58" s="8" t="s">
        <v>149</v>
      </c>
      <c r="J58" s="12" t="s">
        <v>150</v>
      </c>
    </row>
    <row r="59" spans="1:10" ht="38.25" x14ac:dyDescent="0.25">
      <c r="A59" s="2" t="s">
        <v>45</v>
      </c>
      <c r="B59" s="3" t="s">
        <v>142</v>
      </c>
      <c r="C59" s="4" t="str">
        <f>HYPERLINK("http://www8.mpce.mp.br/Dispensa/2887720171.pdf","28877/2017-1")</f>
        <v>28877/2017-1</v>
      </c>
      <c r="D59" s="5">
        <v>45323</v>
      </c>
      <c r="E59" s="9" t="str">
        <f>HYPERLINK("https://www8.mpce.mp.br/Empenhos/150001/Objeto/24-2019.pdf","LOCAÇÃO DE IMÓVEIS ONDE FUNCIONAM AS PROMOTORIAS DE JUSTIÇA DE JAGUARIBE, CONTRATO 024/2019/PGJ, REFERENTE AO MÊS DE JAN/2024")</f>
        <v>LOCAÇÃO DE IMÓVEIS ONDE FUNCIONAM AS PROMOTORIAS DE JUSTIÇA DE JAGUARIBE, CONTRATO 024/2019/PGJ, REFERENTE AO MÊS DE JAN/2024</v>
      </c>
      <c r="F59" s="3" t="s">
        <v>127</v>
      </c>
      <c r="G59" s="6" t="str">
        <f>HYPERLINK("http://www8.mpce.mp.br/Empenhos/150501/NE/2024NE000044.pdf","2024NE000044")</f>
        <v>2024NE000044</v>
      </c>
      <c r="H59" s="7">
        <v>1431.35</v>
      </c>
      <c r="I59" s="8" t="s">
        <v>151</v>
      </c>
      <c r="J59" s="12" t="s">
        <v>152</v>
      </c>
    </row>
    <row r="60" spans="1:10" ht="38.25" x14ac:dyDescent="0.25">
      <c r="A60" s="2" t="s">
        <v>45</v>
      </c>
      <c r="B60" s="3" t="s">
        <v>142</v>
      </c>
      <c r="C60" s="4" t="str">
        <f>HYPERLINK("http://www8.mpce.mp.br/Dispensa/2826420164.pdf","28264/2016-4")</f>
        <v>28264/2016-4</v>
      </c>
      <c r="D60" s="5">
        <v>45323</v>
      </c>
      <c r="E60" s="9" t="str">
        <f>HYPERLINK("https://www8.mpce.mp.br/Empenhos/150001/Objeto/26-2016.pdf","LOCAÇÃO DE IMÓVEIS ONDE FUNCIONAM OS CENTROS DE APOIO OPERACIONAL E ÓRGÃOS DE INVESTIGAÇÃO, CONTRATO 026/2016/PGJ, REFERENTE AO MÊS DE JAN/2024")</f>
        <v>LOCAÇÃO DE IMÓVEIS ONDE FUNCIONAM OS CENTROS DE APOIO OPERACIONAL E ÓRGÃOS DE INVESTIGAÇÃO, CONTRATO 026/2016/PGJ, REFERENTE AO MÊS DE JAN/2024</v>
      </c>
      <c r="F60" s="3" t="s">
        <v>127</v>
      </c>
      <c r="G60" s="6" t="str">
        <f>HYPERLINK("http://www8.mpce.mp.br/Empenhos/150501/NE/2024NE000046.pdf","2024NE000046")</f>
        <v>2024NE000046</v>
      </c>
      <c r="H60" s="7">
        <v>61958.53</v>
      </c>
      <c r="I60" s="8" t="s">
        <v>153</v>
      </c>
      <c r="J60" s="12" t="s">
        <v>154</v>
      </c>
    </row>
    <row r="61" spans="1:10" ht="51" x14ac:dyDescent="0.25">
      <c r="A61" s="2" t="s">
        <v>45</v>
      </c>
      <c r="B61" s="3" t="s">
        <v>142</v>
      </c>
      <c r="C61" s="4" t="str">
        <f>HYPERLINK("https://transparencia-area-fim.mpce.mp.br/#/consulta/processo/pastadigital/092021000079244","09.2021.00007924-4")</f>
        <v>09.2021.00007924-4</v>
      </c>
      <c r="D61" s="5">
        <v>45330</v>
      </c>
      <c r="E61" s="9" t="str">
        <f>HYPERLINK("https://www8.mpce.mp.br/Empenhos/150001/Objeto/27-2021.pdf","LOCAÇÃO DE IMÓVEIS ONDE FUNCIONAM AS PROMOTORIAS DE JUSTIÇA DE EUSÉBIO (EDIFÍCIO OFFICE &amp; MEDICAL CENTER EUSÉBIO), CONTRATO 027/2021/PGJ REFERENTE AO MES DE JAN/2024")</f>
        <v>LOCAÇÃO DE IMÓVEIS ONDE FUNCIONAM AS PROMOTORIAS DE JUSTIÇA DE EUSÉBIO (EDIFÍCIO OFFICE &amp; MEDICAL CENTER EUSÉBIO), CONTRATO 027/2021/PGJ REFERENTE AO MES DE JAN/2024</v>
      </c>
      <c r="F61" s="3" t="s">
        <v>127</v>
      </c>
      <c r="G61" s="6" t="str">
        <f>HYPERLINK("http://www8.mpce.mp.br/Empenhos/150501/NE/2024NE000047.pdf","2024NE000047")</f>
        <v>2024NE000047</v>
      </c>
      <c r="H61" s="7">
        <v>5546.1</v>
      </c>
      <c r="I61" s="8" t="s">
        <v>155</v>
      </c>
      <c r="J61" s="12" t="s">
        <v>156</v>
      </c>
    </row>
    <row r="62" spans="1:10" ht="38.25" x14ac:dyDescent="0.25">
      <c r="A62" s="2" t="s">
        <v>45</v>
      </c>
      <c r="B62" s="3" t="s">
        <v>142</v>
      </c>
      <c r="C62" s="4" t="str">
        <f>HYPERLINK("https://transparencia-area-fim.mpce.mp.br/#/consulta/processo/pastadigital/092021000063220","09.2021.00006322-0")</f>
        <v>09.2021.00006322-0</v>
      </c>
      <c r="D62" s="5">
        <v>45323</v>
      </c>
      <c r="E62" s="9" t="str">
        <f>HYPERLINK("https://www8.mpce.mp.br/Empenhos/150001/Objeto/33-2021.pdf","LOCAÇÃO DE IMÓVEIS ONDE FUNCIONAM AS PROMOTORIAS DE JUSTIÇA DE SOBRAL, CONTRATO 033/2021/PGJ REFERENTE AO MES DE JAN/2024")</f>
        <v>LOCAÇÃO DE IMÓVEIS ONDE FUNCIONAM AS PROMOTORIAS DE JUSTIÇA DE SOBRAL, CONTRATO 033/2021/PGJ REFERENTE AO MES DE JAN/2024</v>
      </c>
      <c r="F62" s="3" t="s">
        <v>127</v>
      </c>
      <c r="G62" s="6" t="str">
        <f>HYPERLINK("http://www8.mpce.mp.br/Empenhos/150501/NE/2024NE000048.pdf","2024NE000048")</f>
        <v>2024NE000048</v>
      </c>
      <c r="H62" s="7">
        <v>33400.11</v>
      </c>
      <c r="I62" s="8" t="s">
        <v>145</v>
      </c>
      <c r="J62" s="12" t="s">
        <v>146</v>
      </c>
    </row>
    <row r="63" spans="1:10" ht="38.25" x14ac:dyDescent="0.25">
      <c r="A63" s="2" t="s">
        <v>45</v>
      </c>
      <c r="B63" s="3" t="s">
        <v>142</v>
      </c>
      <c r="C63" s="4" t="str">
        <f>HYPERLINK("https://transparencia-area-fim.mpce.mp.br/#/consulta/processo/pastadigital/092021000065217","09.2021.00006521-7")</f>
        <v>09.2021.00006521-7</v>
      </c>
      <c r="D63" s="5">
        <v>45323</v>
      </c>
      <c r="E63" s="9" t="str">
        <f>HYPERLINK("https://www8.mpce.mp.br/Empenhos/150001/Objeto/38-2021.pdf","LOCAÇÃO DE IMÓVEIS ONDE FUNCIONAM AS PROMOTORIAS DE JUSTIÇA DE TAUÁ, CONTRATO 038/2021/PGJ REFERENTE AO MES DE JAN/2024")</f>
        <v>LOCAÇÃO DE IMÓVEIS ONDE FUNCIONAM AS PROMOTORIAS DE JUSTIÇA DE TAUÁ, CONTRATO 038/2021/PGJ REFERENTE AO MES DE JAN/2024</v>
      </c>
      <c r="F63" s="3" t="s">
        <v>127</v>
      </c>
      <c r="G63" s="6" t="str">
        <f>HYPERLINK("http://www8.mpce.mp.br/Empenhos/150501/NE/2024NE000049.pdf","2024NE000049")</f>
        <v>2024NE000049</v>
      </c>
      <c r="H63" s="7">
        <v>18000</v>
      </c>
      <c r="I63" s="8" t="s">
        <v>157</v>
      </c>
      <c r="J63" s="12" t="s">
        <v>158</v>
      </c>
    </row>
    <row r="64" spans="1:10" ht="38.25" x14ac:dyDescent="0.25">
      <c r="A64" s="2" t="s">
        <v>45</v>
      </c>
      <c r="B64" s="3" t="s">
        <v>142</v>
      </c>
      <c r="C64" s="4" t="str">
        <f>HYPERLINK("http://www8.mpce.mp.br/Dispensa/1291020194.pdf","12910/2019-4")</f>
        <v>12910/2019-4</v>
      </c>
      <c r="D64" s="5">
        <v>45323</v>
      </c>
      <c r="E64" s="9" t="str">
        <f>HYPERLINK("https://www8.mpce.mp.br/Empenhos/150001/Objeto/39-2019.pdf","LOCAÇÃO DE IMÓVEIS ONDE FUNCIONAM AS PROMOTORIAS DA INFÂNCIA E JUVENTUDE, CONTRATO 039/2019/PGJ REFERENTE AO MES DE JAN/2024")</f>
        <v>LOCAÇÃO DE IMÓVEIS ONDE FUNCIONAM AS PROMOTORIAS DA INFÂNCIA E JUVENTUDE, CONTRATO 039/2019/PGJ REFERENTE AO MES DE JAN/2024</v>
      </c>
      <c r="F64" s="3" t="s">
        <v>127</v>
      </c>
      <c r="G64" s="6" t="str">
        <f>HYPERLINK("http://www8.mpce.mp.br/Empenhos/150501/NE/2024NE000050.pdf","2024NE000050")</f>
        <v>2024NE000050</v>
      </c>
      <c r="H64" s="7">
        <v>4428.03</v>
      </c>
      <c r="I64" s="8" t="s">
        <v>159</v>
      </c>
      <c r="J64" s="12" t="s">
        <v>160</v>
      </c>
    </row>
    <row r="65" spans="1:10" ht="38.25" x14ac:dyDescent="0.25">
      <c r="A65" s="2" t="s">
        <v>45</v>
      </c>
      <c r="B65" s="3" t="s">
        <v>161</v>
      </c>
      <c r="C65" s="4" t="str">
        <f>HYPERLINK("https://transparencia-area-fim.mpce.mp.br/#/consulta/processo/pastadigital/092021000064195","09.2021.00006419-5")</f>
        <v>09.2021.00006419-5</v>
      </c>
      <c r="D65" s="5">
        <v>45323</v>
      </c>
      <c r="E65" s="9" t="str">
        <f>HYPERLINK("https://www8.mpce.mp.br/Empenhos/150001/Objeto/41-2021.pdf","LOCAÇÃO DE IMÓVEIS ONDE FUNCIONAM AS PROMOTORIAS DE JUSTIÇA DE QUIXADÁ, CONTRATO 041/2021/PGJ REFERENTE AO MES DE JAN/2024")</f>
        <v>LOCAÇÃO DE IMÓVEIS ONDE FUNCIONAM AS PROMOTORIAS DE JUSTIÇA DE QUIXADÁ, CONTRATO 041/2021/PGJ REFERENTE AO MES DE JAN/2024</v>
      </c>
      <c r="F65" s="3" t="s">
        <v>127</v>
      </c>
      <c r="G65" s="6" t="str">
        <f>HYPERLINK("http://www8.mpce.mp.br/Empenhos/150501/NE/2024NE000051.pdf","2024NE000051")</f>
        <v>2024NE000051</v>
      </c>
      <c r="H65" s="7">
        <v>18900</v>
      </c>
      <c r="I65" s="8" t="s">
        <v>140</v>
      </c>
      <c r="J65" s="12" t="s">
        <v>141</v>
      </c>
    </row>
    <row r="66" spans="1:10" ht="38.25" x14ac:dyDescent="0.25">
      <c r="A66" s="2" t="s">
        <v>45</v>
      </c>
      <c r="B66" s="3" t="s">
        <v>161</v>
      </c>
      <c r="C66" s="4" t="str">
        <f>HYPERLINK("https://transparencia-area-fim.mpce.mp.br/#/consulta/processo/pastadigital/092021000219739","09.2021.00021973-9")</f>
        <v>09.2021.00021973-9</v>
      </c>
      <c r="D66" s="5">
        <v>45323</v>
      </c>
      <c r="E66" s="9" t="str">
        <f>HYPERLINK("https://www8.mpce.mp.br/Empenhos/150001/Objeto/45-2021.pdf","LOCAÇÃO DE IMÓVEIS ONDE FUNCIONAM AS PROMOTORIAS DE JUSTIÇA DE EUSÉBIO, CONTRATO 045/2021/PGJ REFERENTE AO MES DE JAN/2024")</f>
        <v>LOCAÇÃO DE IMÓVEIS ONDE FUNCIONAM AS PROMOTORIAS DE JUSTIÇA DE EUSÉBIO, CONTRATO 045/2021/PGJ REFERENTE AO MES DE JAN/2024</v>
      </c>
      <c r="F66" s="3" t="s">
        <v>127</v>
      </c>
      <c r="G66" s="6" t="str">
        <f>HYPERLINK("http://www8.mpce.mp.br/Empenhos/150501/NE/2024NE000052.pdf","2024NE000052")</f>
        <v>2024NE000052</v>
      </c>
      <c r="H66" s="7">
        <v>1640.35</v>
      </c>
      <c r="I66" s="8" t="s">
        <v>155</v>
      </c>
      <c r="J66" s="12" t="s">
        <v>156</v>
      </c>
    </row>
    <row r="67" spans="1:10" ht="38.25" x14ac:dyDescent="0.25">
      <c r="A67" s="2" t="s">
        <v>45</v>
      </c>
      <c r="B67" s="3" t="s">
        <v>161</v>
      </c>
      <c r="C67" s="4" t="str">
        <f>HYPERLINK("http://www8.mpce.mp.br/Dispensa/1984020196.pdf","19840/2019-6")</f>
        <v>19840/2019-6</v>
      </c>
      <c r="D67" s="5">
        <v>45323</v>
      </c>
      <c r="E67" s="9" t="str">
        <f>HYPERLINK("https://www8.mpce.mp.br/Empenhos/150001/Objeto/48-2019.pdf","LOCAÇÃO DE IMÓVEIS ONDE FUNCIONAM AS PROMOTORIAS DE JUSTIÇA DE CAUCAIA, CONTRATO 048/2019/PGJ REFERENTE AO MES DE JAN/2024")</f>
        <v>LOCAÇÃO DE IMÓVEIS ONDE FUNCIONAM AS PROMOTORIAS DE JUSTIÇA DE CAUCAIA, CONTRATO 048/2019/PGJ REFERENTE AO MES DE JAN/2024</v>
      </c>
      <c r="F67" s="3" t="s">
        <v>127</v>
      </c>
      <c r="G67" s="6" t="str">
        <f>HYPERLINK("http://www8.mpce.mp.br/Empenhos/150501/NE/2024NE000053.pdf","2024NE000053")</f>
        <v>2024NE000053</v>
      </c>
      <c r="H67" s="7">
        <v>45512.77</v>
      </c>
      <c r="I67" s="8" t="s">
        <v>162</v>
      </c>
      <c r="J67" s="12" t="s">
        <v>163</v>
      </c>
    </row>
    <row r="68" spans="1:10" ht="38.25" x14ac:dyDescent="0.25">
      <c r="A68" s="2" t="s">
        <v>20</v>
      </c>
      <c r="B68" s="3" t="s">
        <v>21</v>
      </c>
      <c r="C68" s="4" t="str">
        <f>HYPERLINK("https://transparencia-area-fim.mpce.mp.br/#/consulta/processo/pastadigital/092023000293915","09.2023.00029391-5")</f>
        <v>09.2023.00029391-5</v>
      </c>
      <c r="D68" s="5">
        <v>45323</v>
      </c>
      <c r="E68" s="9" t="str">
        <f>HYPERLINK("https://www8.mpce.mp.br/Empenhos/150001/Objeto/54-2023.pdf","LOCAÇÃO DE IMÓVEL ONDE FUNCIONA O GALPÃO DO ALMOXARIFADO, CONTRATO 054/2023/PGJ REFERENTE AO MES DE JAN/2024")</f>
        <v>LOCAÇÃO DE IMÓVEL ONDE FUNCIONA O GALPÃO DO ALMOXARIFADO, CONTRATO 054/2023/PGJ REFERENTE AO MES DE JAN/2024</v>
      </c>
      <c r="F68" s="3" t="s">
        <v>127</v>
      </c>
      <c r="G68" s="6" t="str">
        <f>HYPERLINK("http://www8.mpce.mp.br/Empenhos/150501/NE/2024NE000054.pdf","2024NE000054")</f>
        <v>2024NE000054</v>
      </c>
      <c r="H68" s="7">
        <v>22000</v>
      </c>
      <c r="I68" s="8" t="s">
        <v>164</v>
      </c>
      <c r="J68" s="12" t="s">
        <v>165</v>
      </c>
    </row>
    <row r="69" spans="1:10" ht="38.25" x14ac:dyDescent="0.25">
      <c r="A69" s="2" t="s">
        <v>20</v>
      </c>
      <c r="B69" s="3" t="s">
        <v>166</v>
      </c>
      <c r="C69" s="4" t="str">
        <f>HYPERLINK("https://transparencia-area-fim.mpce.mp.br/#/consulta/processo/pastadigital/092023000214163","09.2023.00021416-3")</f>
        <v>09.2023.00021416-3</v>
      </c>
      <c r="D69" s="5">
        <v>45323</v>
      </c>
      <c r="E69" s="9" t="str">
        <f>HYPERLINK("https://www8.mpce.mp.br/Empenhos/150001/Objeto/56-2023.pdf","LOCAÇÃO DE IMÓVEIS ONDE FUNCIONAM AS PROMOTORIAS DE JUSTIÇA DE BATURITÉ, CONTRATO 056/2023/PGJ REFERENTE AO MES DE JAN/2024")</f>
        <v>LOCAÇÃO DE IMÓVEIS ONDE FUNCIONAM AS PROMOTORIAS DE JUSTIÇA DE BATURITÉ, CONTRATO 056/2023/PGJ REFERENTE AO MES DE JAN/2024</v>
      </c>
      <c r="F69" s="3" t="s">
        <v>127</v>
      </c>
      <c r="G69" s="6" t="str">
        <f>HYPERLINK("http://www8.mpce.mp.br/Empenhos/150501/NE/2024NE000055.pdf","2024NE000055")</f>
        <v>2024NE000055</v>
      </c>
      <c r="H69" s="7">
        <v>5400</v>
      </c>
      <c r="I69" s="8" t="s">
        <v>167</v>
      </c>
      <c r="J69" s="12" t="s">
        <v>168</v>
      </c>
    </row>
    <row r="70" spans="1:10" ht="38.25" x14ac:dyDescent="0.25">
      <c r="A70" s="2" t="s">
        <v>45</v>
      </c>
      <c r="B70" s="3" t="s">
        <v>130</v>
      </c>
      <c r="C70" s="4" t="str">
        <f>HYPERLINK("http://www8.mpce.mp.br/Dispensa/4793720162.pdf","4793720162")</f>
        <v>4793720162</v>
      </c>
      <c r="D70" s="5">
        <v>45324</v>
      </c>
      <c r="E70" s="9" t="str">
        <f>HYPERLINK("https://www8.mpce.mp.br/Empenhos/150001/Objeto/14-2017.pdf","LOCAÇÃO  DO IMÓVEL ONDE FUNCIONA O GALPÃO DO ALMOXARIFADO, NA RUA NEUZINHA PARENTE,610, CONFORME CONTRATO 14/2017 REF JANEIRO/2024.")</f>
        <v>LOCAÇÃO  DO IMÓVEL ONDE FUNCIONA O GALPÃO DO ALMOXARIFADO, NA RUA NEUZINHA PARENTE,610, CONFORME CONTRATO 14/2017 REF JANEIRO/2024.</v>
      </c>
      <c r="F70" s="3" t="s">
        <v>127</v>
      </c>
      <c r="G70" s="6" t="str">
        <f>HYPERLINK("http://www8.mpce.mp.br/Empenhos/150501/NE/2024NE000056.pdf","2024NE000056")</f>
        <v>2024NE000056</v>
      </c>
      <c r="H70" s="7">
        <v>22143.48</v>
      </c>
      <c r="I70" s="8" t="s">
        <v>164</v>
      </c>
      <c r="J70" s="12" t="s">
        <v>165</v>
      </c>
    </row>
    <row r="71" spans="1:10" ht="51" x14ac:dyDescent="0.25">
      <c r="A71" s="2" t="s">
        <v>45</v>
      </c>
      <c r="B71" s="3" t="s">
        <v>130</v>
      </c>
      <c r="C71" s="4" t="str">
        <f>HYPERLINK("http://www8.mpce.mp.br/Dispensa/842220170.pdf","8422/20170")</f>
        <v>8422/20170</v>
      </c>
      <c r="D71" s="5">
        <v>45324</v>
      </c>
      <c r="E71" s="9" t="str">
        <f>HYPERLINK("https://www8.mpce.mp.br/Empenhos/150001/Objeto/16-2017.pdf","LOCAÇÃO DE IMÓVEL A RUA CORONEL JOSÉ PHILOMENO,222, ENG. LUCIANO CAVALCANTE, CONFORME CONTRATO 16/2017, POR ESTIMATIVA E REF MÊS DE JANEIRO/2024.")</f>
        <v>LOCAÇÃO DE IMÓVEL A RUA CORONEL JOSÉ PHILOMENO,222, ENG. LUCIANO CAVALCANTE, CONFORME CONTRATO 16/2017, POR ESTIMATIVA E REF MÊS DE JANEIRO/2024.</v>
      </c>
      <c r="F71" s="3" t="s">
        <v>127</v>
      </c>
      <c r="G71" s="6" t="str">
        <f>HYPERLINK("http://www8.mpce.mp.br/Empenhos/150501/NE/2024NE000057.pdf","2024NE000057")</f>
        <v>2024NE000057</v>
      </c>
      <c r="H71" s="7">
        <v>58910.97</v>
      </c>
      <c r="I71" s="8" t="s">
        <v>169</v>
      </c>
      <c r="J71" s="12" t="s">
        <v>170</v>
      </c>
    </row>
    <row r="72" spans="1:10" ht="38.25" x14ac:dyDescent="0.25">
      <c r="A72" s="2" t="s">
        <v>45</v>
      </c>
      <c r="B72" s="3" t="s">
        <v>171</v>
      </c>
      <c r="C72" s="4" t="str">
        <f>HYPERLINK("http://www8.mpce.mp.br/Dispensa/2004820193.pdf","20048/2019-3")</f>
        <v>20048/2019-3</v>
      </c>
      <c r="D72" s="5">
        <v>45324</v>
      </c>
      <c r="E72" s="9" t="str">
        <f>HYPERLINK("https://www8.mpce.mp.br/Empenhos/150001/Objeto/84-2019.pdf","LOCAÇÃO DE IMÓVEIS ONDE FUNCIONAM AS PROMOTORIAS DE JUSTIÇA DE MOMBAÇA, CONTRATO 084/2019/PGJ REFERENTE AO MES DE JAN/2024")</f>
        <v>LOCAÇÃO DE IMÓVEIS ONDE FUNCIONAM AS PROMOTORIAS DE JUSTIÇA DE MOMBAÇA, CONTRATO 084/2019/PGJ REFERENTE AO MES DE JAN/2024</v>
      </c>
      <c r="F72" s="3" t="s">
        <v>172</v>
      </c>
      <c r="G72" s="6" t="str">
        <f>HYPERLINK("http://www8.mpce.mp.br/Empenhos/150501/NE/2024NE000058.pdf","2024NE000058")</f>
        <v>2024NE000058</v>
      </c>
      <c r="H72" s="7">
        <v>4000</v>
      </c>
      <c r="I72" s="8" t="s">
        <v>173</v>
      </c>
      <c r="J72" s="12" t="s">
        <v>174</v>
      </c>
    </row>
    <row r="73" spans="1:10" ht="38.25" x14ac:dyDescent="0.25">
      <c r="A73" s="2" t="s">
        <v>45</v>
      </c>
      <c r="B73" s="3" t="s">
        <v>130</v>
      </c>
      <c r="C73" s="4" t="str">
        <f>HYPERLINK("http://www8.mpce.mp.br/Dispensa/2060220148.pdf","20602/2014-8")</f>
        <v>20602/2014-8</v>
      </c>
      <c r="D73" s="5">
        <v>45324</v>
      </c>
      <c r="E73" s="9" t="str">
        <f>HYPERLINK("https://www8.mpce.mp.br/Empenhos/150001/Objeto/19-2014.pdf","LOCAÇÃO DE IMÓVEL NA RUA MONTEIRO LOBATO,96 BAIRRO DE FÁTIMA, REFERENTE AO M~ES DE JANEIRO/2024 CONFORME CONTRATO 19/2014.")</f>
        <v>LOCAÇÃO DE IMÓVEL NA RUA MONTEIRO LOBATO,96 BAIRRO DE FÁTIMA, REFERENTE AO M~ES DE JANEIRO/2024 CONFORME CONTRATO 19/2014.</v>
      </c>
      <c r="F73" s="3" t="s">
        <v>127</v>
      </c>
      <c r="G73" s="6" t="str">
        <f>HYPERLINK("http://www8.mpce.mp.br/Empenhos/150501/NE/2024NE000059.pdf","2024NE000059")</f>
        <v>2024NE000059</v>
      </c>
      <c r="H73" s="7">
        <v>7269.13</v>
      </c>
      <c r="I73" s="8" t="s">
        <v>175</v>
      </c>
      <c r="J73" s="12" t="s">
        <v>176</v>
      </c>
    </row>
    <row r="74" spans="1:10" ht="38.25" x14ac:dyDescent="0.25">
      <c r="A74" s="2" t="s">
        <v>45</v>
      </c>
      <c r="B74" s="3" t="s">
        <v>142</v>
      </c>
      <c r="C74" s="4" t="str">
        <f>HYPERLINK("http://www8.mpce.mp.br/Dispensa/2398120192.pdf","23981/2019-2")</f>
        <v>23981/2019-2</v>
      </c>
      <c r="D74" s="5">
        <v>45324</v>
      </c>
      <c r="E74" s="9" t="str">
        <f>HYPERLINK("https://www8.mpce.mp.br/Empenhos/150001/Objeto/63-2019.pdf","LOCAÇÃO DE IMÓVEIS ONDE FUNCIONAM AS PROMOTORIAS DE JUSTIÇA DE JUAZEIRO DO NORTE, CONTRATO 063/2019/PGJ REFERENTE AO MES DE JAN/2024")</f>
        <v>LOCAÇÃO DE IMÓVEIS ONDE FUNCIONAM AS PROMOTORIAS DE JUSTIÇA DE JUAZEIRO DO NORTE, CONTRATO 063/2019/PGJ REFERENTE AO MES DE JAN/2024</v>
      </c>
      <c r="F74" s="3" t="s">
        <v>172</v>
      </c>
      <c r="G74" s="6" t="str">
        <f>HYPERLINK("http://www8.mpce.mp.br/Empenhos/150501/NE/2024NE000060.pdf","2024NE000060")</f>
        <v>2024NE000060</v>
      </c>
      <c r="H74" s="7">
        <v>1065.1600000000001</v>
      </c>
      <c r="I74" s="8" t="s">
        <v>177</v>
      </c>
      <c r="J74" s="12" t="s">
        <v>178</v>
      </c>
    </row>
    <row r="75" spans="1:10" ht="38.25" x14ac:dyDescent="0.25">
      <c r="A75" s="2" t="s">
        <v>45</v>
      </c>
      <c r="B75" s="3" t="s">
        <v>179</v>
      </c>
      <c r="C75" s="4" t="str">
        <f>HYPERLINK("http://www8.mpce.mp.br/Dispensa/3357020159.pdf","33570/2015-9")</f>
        <v>33570/2015-9</v>
      </c>
      <c r="D75" s="5">
        <v>45324</v>
      </c>
      <c r="E75" s="9" t="str">
        <f>HYPERLINK("https://www8.mpce.mp.br/Empenhos/150001/Objeto/28-2015.pdf","LOCAÇÃO DE IMÓVEL A RUA NELSON STUDART, 199- AGUA FRIA REF AO MÊS DE JANEIRO/2024, CONFORME CONTRATO N 28/2015.")</f>
        <v>LOCAÇÃO DE IMÓVEL A RUA NELSON STUDART, 199- AGUA FRIA REF AO MÊS DE JANEIRO/2024, CONFORME CONTRATO N 28/2015.</v>
      </c>
      <c r="F75" s="3" t="s">
        <v>172</v>
      </c>
      <c r="G75" s="6" t="str">
        <f>HYPERLINK("http://www8.mpce.mp.br/Empenhos/150501/NE/2024NE000061.pdf","2024NE000061")</f>
        <v>2024NE000061</v>
      </c>
      <c r="H75" s="7">
        <v>27329.279999999999</v>
      </c>
      <c r="I75" s="8" t="s">
        <v>180</v>
      </c>
      <c r="J75" s="12" t="s">
        <v>181</v>
      </c>
    </row>
    <row r="76" spans="1:10" ht="38.25" x14ac:dyDescent="0.25">
      <c r="A76" s="2" t="s">
        <v>45</v>
      </c>
      <c r="B76" s="3" t="s">
        <v>130</v>
      </c>
      <c r="C76" s="4" t="str">
        <f>HYPERLINK("https://transparencia-area-fim.mpce.mp.br/#/consulta/processo/pastadigital/092021000244582","09.2021.00024458-2")</f>
        <v>09.2021.00024458-2</v>
      </c>
      <c r="D76" s="5">
        <v>45324</v>
      </c>
      <c r="E76" s="9" t="str">
        <f>HYPERLINK("https://www8.mpce.mp.br/Empenhos/150001/Objeto/11-2022.pdf","LOCAÇÃO DE IMÓVEL ONDE FUNCIONAM AS PROMOTORIAS DE ARACATI-CE, REFERENTE AO MÊS DE JANEIRO DE 2024, CONFORME CONTRATO 11/2022.")</f>
        <v>LOCAÇÃO DE IMÓVEL ONDE FUNCIONAM AS PROMOTORIAS DE ARACATI-CE, REFERENTE AO MÊS DE JANEIRO DE 2024, CONFORME CONTRATO 11/2022.</v>
      </c>
      <c r="F76" s="3" t="s">
        <v>127</v>
      </c>
      <c r="G76" s="6" t="str">
        <f>HYPERLINK("http://www8.mpce.mp.br/Empenhos/150501/NE/2024NE000062.pdf","2024NE000062")</f>
        <v>2024NE000062</v>
      </c>
      <c r="H76" s="7">
        <v>18465</v>
      </c>
      <c r="I76" s="8" t="s">
        <v>182</v>
      </c>
      <c r="J76" s="12" t="s">
        <v>183</v>
      </c>
    </row>
    <row r="77" spans="1:10" ht="38.25" x14ac:dyDescent="0.25">
      <c r="A77" s="2" t="s">
        <v>45</v>
      </c>
      <c r="B77" s="3" t="s">
        <v>142</v>
      </c>
      <c r="C77" s="4" t="str">
        <f>HYPERLINK("http://www8.mpce.mp.br/Dispensa/2330020195.pdf","23300/2019-5")</f>
        <v>23300/2019-5</v>
      </c>
      <c r="D77" s="5">
        <v>45324</v>
      </c>
      <c r="E77" s="9" t="str">
        <f>HYPERLINK("https://www8.mpce.mp.br/Empenhos/150001/Objeto/61-2019.pdf","LOCAÇÃO DE IMÓVEIS ONDE FUNCIONAM AS PROMOTORIAS DE JUSTIÇA DE ACARAÚ, CONTRATO 061/2019/PGJ REFERENTE AO MES DE JAN/2024")</f>
        <v>LOCAÇÃO DE IMÓVEIS ONDE FUNCIONAM AS PROMOTORIAS DE JUSTIÇA DE ACARAÚ, CONTRATO 061/2019/PGJ REFERENTE AO MES DE JAN/2024</v>
      </c>
      <c r="F77" s="3" t="s">
        <v>172</v>
      </c>
      <c r="G77" s="6" t="str">
        <f>HYPERLINK("http://www8.mpce.mp.br/Empenhos/150501/NE/2024NE000063.pdf","2024NE000063")</f>
        <v>2024NE000063</v>
      </c>
      <c r="H77" s="7">
        <v>1400</v>
      </c>
      <c r="I77" s="8" t="s">
        <v>184</v>
      </c>
      <c r="J77" s="12" t="s">
        <v>185</v>
      </c>
    </row>
    <row r="78" spans="1:10" ht="38.25" x14ac:dyDescent="0.25">
      <c r="A78" s="2" t="s">
        <v>45</v>
      </c>
      <c r="B78" s="3" t="s">
        <v>130</v>
      </c>
      <c r="C78" s="4" t="str">
        <f>HYPERLINK("https://transparencia-area-fim.mpce.mp.br/#/consulta/processo/pastadigital/092021000244271","09.2021.00024427-1")</f>
        <v>09.2021.00024427-1</v>
      </c>
      <c r="D78" s="5">
        <v>45324</v>
      </c>
      <c r="E78" s="9" t="str">
        <f>HYPERLINK("https://www8.mpce.mp.br/Empenhos/150001/Objeto/17-2022.pdf","LOCAÇÃO DE IMÓVEL ONDE FUNCIONAM AS PROMOTORIAS DE TIANGUÁ-CE CONFORME CONTRATO 17/2022 REF JANEIRO/2024.")</f>
        <v>LOCAÇÃO DE IMÓVEL ONDE FUNCIONAM AS PROMOTORIAS DE TIANGUÁ-CE CONFORME CONTRATO 17/2022 REF JANEIRO/2024.</v>
      </c>
      <c r="F78" s="3" t="s">
        <v>127</v>
      </c>
      <c r="G78" s="6" t="str">
        <f>HYPERLINK("http://www8.mpce.mp.br/Empenhos/150501/NE/2024NE000064.pdf","2024NE000064")</f>
        <v>2024NE000064</v>
      </c>
      <c r="H78" s="7">
        <v>26000</v>
      </c>
      <c r="I78" s="8" t="s">
        <v>186</v>
      </c>
      <c r="J78" s="12" t="s">
        <v>187</v>
      </c>
    </row>
    <row r="79" spans="1:10" ht="38.25" x14ac:dyDescent="0.25">
      <c r="A79" s="2" t="s">
        <v>45</v>
      </c>
      <c r="B79" s="3" t="s">
        <v>130</v>
      </c>
      <c r="C79" s="4" t="str">
        <f>HYPERLINK("http://www8.mpce.mp.br/Dispensa/1320920133.pdf","13209/2013-3")</f>
        <v>13209/2013-3</v>
      </c>
      <c r="D79" s="5">
        <v>45324</v>
      </c>
      <c r="E79" s="9" t="str">
        <f>HYPERLINK("https://www8.mpce.mp.br/Empenhos/150001/Objeto/43-2013.pdf","LOCAÇÃO DE IMÓVEL DAS PROMOTORIAS DE MORADA NOVA-CE REF MÊS DE JANEIRO/2024., CONFORME CONTRATO 43/2013")</f>
        <v>LOCAÇÃO DE IMÓVEL DAS PROMOTORIAS DE MORADA NOVA-CE REF MÊS DE JANEIRO/2024., CONFORME CONTRATO 43/2013</v>
      </c>
      <c r="F79" s="3" t="s">
        <v>172</v>
      </c>
      <c r="G79" s="6" t="str">
        <f>HYPERLINK("http://www8.mpce.mp.br/Empenhos/150501/NE/2024NE000065.pdf","2024NE000065")</f>
        <v>2024NE000065</v>
      </c>
      <c r="H79" s="7">
        <v>8150.28</v>
      </c>
      <c r="I79" s="8" t="s">
        <v>188</v>
      </c>
      <c r="J79" s="12" t="s">
        <v>189</v>
      </c>
    </row>
    <row r="80" spans="1:10" ht="38.25" x14ac:dyDescent="0.25">
      <c r="A80" s="2" t="s">
        <v>45</v>
      </c>
      <c r="B80" s="3" t="s">
        <v>142</v>
      </c>
      <c r="C80" s="4" t="str">
        <f>HYPERLINK("http://www8.mpce.mp.br/Dispensa/2150720189.pdf","21507/2018-9")</f>
        <v>21507/2018-9</v>
      </c>
      <c r="D80" s="5">
        <v>45324</v>
      </c>
      <c r="E80" s="9" t="str">
        <f>HYPERLINK("https://www8.mpce.mp.br/Empenhos/150001/Objeto/51-2019.pdf","LOCAÇÃO DE IMÓVEIS ONDE FUNCIONAM AS PROMOTORIAS DE JUSTIÇA DE VIÇOSA DO CEARÁ, CONTRATO 051/2019/PGJ REFERENTE AO MES DE JAN/2024")</f>
        <v>LOCAÇÃO DE IMÓVEIS ONDE FUNCIONAM AS PROMOTORIAS DE JUSTIÇA DE VIÇOSA DO CEARÁ, CONTRATO 051/2019/PGJ REFERENTE AO MES DE JAN/2024</v>
      </c>
      <c r="F80" s="3" t="s">
        <v>172</v>
      </c>
      <c r="G80" s="6" t="str">
        <f>HYPERLINK("http://www8.mpce.mp.br/Empenhos/150501/NE/2024NE000066.pdf","2024NE000066")</f>
        <v>2024NE000066</v>
      </c>
      <c r="H80" s="7">
        <v>2935.71</v>
      </c>
      <c r="I80" s="8" t="s">
        <v>190</v>
      </c>
      <c r="J80" s="12" t="s">
        <v>191</v>
      </c>
    </row>
    <row r="81" spans="1:10" ht="38.25" x14ac:dyDescent="0.25">
      <c r="A81" s="2" t="s">
        <v>45</v>
      </c>
      <c r="B81" s="3" t="s">
        <v>192</v>
      </c>
      <c r="C81" s="4" t="str">
        <f>HYPERLINK("https://transparencia-area-fim.mpce.mp.br/#/consulta/processo/pastadigital/092022000230870","09.2022.00023087-0")</f>
        <v>09.2022.00023087-0</v>
      </c>
      <c r="D81" s="5">
        <v>45324</v>
      </c>
      <c r="E81" s="9" t="str">
        <f>HYPERLINK("https://www8.mpce.mp.br/Empenhos/150001/Objeto/29-2022.pdf","LOCAÇÃO DE IMÓVEL DAS PROMOTORIAS DA COMARCA DE JUAZEIRO DO NORTE-CE REF M~ES DE JANEIRO DE 2024 E CONFORME CONTRATO 029/2022")</f>
        <v>LOCAÇÃO DE IMÓVEL DAS PROMOTORIAS DA COMARCA DE JUAZEIRO DO NORTE-CE REF M~ES DE JANEIRO DE 2024 E CONFORME CONTRATO 029/2022</v>
      </c>
      <c r="F81" s="3" t="s">
        <v>127</v>
      </c>
      <c r="G81" s="6" t="str">
        <f>HYPERLINK("http://www8.mpce.mp.br/Empenhos/150501/NE/2024NE000067.pdf","2024NE000067")</f>
        <v>2024NE000067</v>
      </c>
      <c r="H81" s="7">
        <v>66161.41</v>
      </c>
      <c r="I81" s="8" t="s">
        <v>143</v>
      </c>
      <c r="J81" s="12" t="s">
        <v>144</v>
      </c>
    </row>
    <row r="82" spans="1:10" ht="38.25" x14ac:dyDescent="0.25">
      <c r="A82" s="2" t="s">
        <v>20</v>
      </c>
      <c r="B82" s="3" t="s">
        <v>166</v>
      </c>
      <c r="C82" s="4" t="str">
        <f>HYPERLINK("https://transparencia-area-fim.mpce.mp.br/#/consulta/processo/pastadigital/092022000371847","09.2022.00037184-7")</f>
        <v>09.2022.00037184-7</v>
      </c>
      <c r="D82" s="5">
        <v>45324</v>
      </c>
      <c r="E82" s="9" t="str">
        <f>HYPERLINK("https://www8.mpce.mp.br/Empenhos/150001/Objeto/44-2023.pdf","LOCAÇÃO DE IMÓVEIS ONDE FUNCIONAM AS PROMOTORIAS DE JUSTIÇA DE MARCO, CONTRATO 044/2023/PGJ REFERENTE AO MES DE JAN/2024")</f>
        <v>LOCAÇÃO DE IMÓVEIS ONDE FUNCIONAM AS PROMOTORIAS DE JUSTIÇA DE MARCO, CONTRATO 044/2023/PGJ REFERENTE AO MES DE JAN/2024</v>
      </c>
      <c r="F82" s="3" t="s">
        <v>172</v>
      </c>
      <c r="G82" s="6" t="str">
        <f>HYPERLINK("http://www8.mpce.mp.br/Empenhos/150501/NE/2024NE000068.pdf","2024NE000068")</f>
        <v>2024NE000068</v>
      </c>
      <c r="H82" s="7">
        <v>1200</v>
      </c>
      <c r="I82" s="8" t="s">
        <v>193</v>
      </c>
      <c r="J82" s="12" t="s">
        <v>194</v>
      </c>
    </row>
    <row r="83" spans="1:10" ht="38.25" x14ac:dyDescent="0.25">
      <c r="A83" s="2" t="s">
        <v>20</v>
      </c>
      <c r="B83" s="3" t="s">
        <v>166</v>
      </c>
      <c r="C83" s="4" t="str">
        <f>HYPERLINK("https://transparencia-area-fim.mpce.mp.br/#/consulta/processo/pastadigital/092022000409094","09.2022.00040909-4")</f>
        <v>09.2022.00040909-4</v>
      </c>
      <c r="D83" s="5">
        <v>45324</v>
      </c>
      <c r="E83" s="9" t="str">
        <f>HYPERLINK("https://www8.mpce.mp.br/Empenhos/150001/Objeto/41-2023.pdf","LOCAÇÃO DE IMÓVEIS ONDE FUNCIONAM AS PROMOTORIAS DE JUSTIÇA DE GUARACIABA DO NORTE, CONTRATO 041/2023/PGJ REFERENTE AO MES DE JAN/2024")</f>
        <v>LOCAÇÃO DE IMÓVEIS ONDE FUNCIONAM AS PROMOTORIAS DE JUSTIÇA DE GUARACIABA DO NORTE, CONTRATO 041/2023/PGJ REFERENTE AO MES DE JAN/2024</v>
      </c>
      <c r="F83" s="3" t="s">
        <v>172</v>
      </c>
      <c r="G83" s="6" t="str">
        <f>HYPERLINK("http://www8.mpce.mp.br/Empenhos/150501/NE/2024NE000069.pdf","2024NE000069")</f>
        <v>2024NE000069</v>
      </c>
      <c r="H83" s="7">
        <v>1550</v>
      </c>
      <c r="I83" s="8" t="s">
        <v>195</v>
      </c>
      <c r="J83" s="12" t="s">
        <v>196</v>
      </c>
    </row>
    <row r="84" spans="1:10" ht="38.25" x14ac:dyDescent="0.25">
      <c r="A84" s="2" t="s">
        <v>45</v>
      </c>
      <c r="B84" s="3" t="s">
        <v>179</v>
      </c>
      <c r="C84" s="4" t="str">
        <f>HYPERLINK("http://www8.mpce.mp.br/Dispensa/1955220197.pdf","19552/2019-7")</f>
        <v>19552/2019-7</v>
      </c>
      <c r="D84" s="5">
        <v>45324</v>
      </c>
      <c r="E84" s="9" t="str">
        <f>HYPERLINK("https://www8.mpce.mp.br/Empenhos/150001/Objeto/85-2019.pdf","LOCAÇAO DE IMÓVEL ONDE FUNCIONA AS PROMOTORIAS DE JUSTIÇA DE PARAIPABA REFERENTE AO MÊS DE JANEIRO/2024, CONFORME CONTRATO 85/2019.")</f>
        <v>LOCAÇAO DE IMÓVEL ONDE FUNCIONA AS PROMOTORIAS DE JUSTIÇA DE PARAIPABA REFERENTE AO MÊS DE JANEIRO/2024, CONFORME CONTRATO 85/2019.</v>
      </c>
      <c r="F84" s="3" t="s">
        <v>172</v>
      </c>
      <c r="G84" s="6" t="str">
        <f>HYPERLINK("http://www8.mpce.mp.br/Empenhos/150501/NE/2024NE000070.pdf","2024NE000070")</f>
        <v>2024NE000070</v>
      </c>
      <c r="H84" s="7">
        <v>1306.7</v>
      </c>
      <c r="I84" s="8" t="s">
        <v>197</v>
      </c>
      <c r="J84" s="12" t="s">
        <v>198</v>
      </c>
    </row>
    <row r="85" spans="1:10" ht="38.25" x14ac:dyDescent="0.25">
      <c r="A85" s="2" t="s">
        <v>20</v>
      </c>
      <c r="B85" s="3" t="s">
        <v>21</v>
      </c>
      <c r="C85" s="4" t="str">
        <f>HYPERLINK("https://transparencia-area-fim.mpce.mp.br/#/consulta/processo/pastadigital/092022000083885","09.2022.00008388-5")</f>
        <v>09.2022.00008388-5</v>
      </c>
      <c r="D85" s="5">
        <v>45324</v>
      </c>
      <c r="E85" s="9" t="str">
        <f>HYPERLINK("https://www8.mpce.mp.br/Empenhos/150001/Objeto/36-2023.pdf","LOCAÇÃO DE IMÓVEIS ONDE FUNCIONAM AS PROMOTORIAS DE JUSTIÇA DE SOLONÓPOLE, CONTRATO 036/2023/PGJ REFERENTE AO MES DE JAN/2024")</f>
        <v>LOCAÇÃO DE IMÓVEIS ONDE FUNCIONAM AS PROMOTORIAS DE JUSTIÇA DE SOLONÓPOLE, CONTRATO 036/2023/PGJ REFERENTE AO MES DE JAN/2024</v>
      </c>
      <c r="F85" s="3" t="s">
        <v>172</v>
      </c>
      <c r="G85" s="6" t="str">
        <f>HYPERLINK("http://www8.mpce.mp.br/Empenhos/150501/NE/2024NE000071.pdf","2024NE000071")</f>
        <v>2024NE000071</v>
      </c>
      <c r="H85" s="7">
        <v>3897.24</v>
      </c>
      <c r="I85" s="8" t="s">
        <v>199</v>
      </c>
      <c r="J85" s="12" t="s">
        <v>200</v>
      </c>
    </row>
    <row r="86" spans="1:10" ht="38.25" x14ac:dyDescent="0.25">
      <c r="A86" s="2" t="s">
        <v>45</v>
      </c>
      <c r="B86" s="3" t="s">
        <v>201</v>
      </c>
      <c r="C86" s="4" t="str">
        <f>HYPERLINK("https://transparencia-area-fim.mpce.mp.br/#/consulta/processo/pastadigital/092022000343829","09.2022.00034382-9")</f>
        <v>09.2022.00034382-9</v>
      </c>
      <c r="D86" s="5">
        <v>45324</v>
      </c>
      <c r="E86" s="9" t="str">
        <f>HYPERLINK("https://www8.mpce.mp.br/Empenhos/150001/Objeto/10-2023.pdf","	LOCAÇÃO DE IMÓVEL ONDE FUNCIONAM AS PROMOTORIAS DE ITPAPAJÉ-C3E, REF JANEIRO/2024 E CONFORME CONTRATO 10/202")</f>
        <v xml:space="preserve">	LOCAÇÃO DE IMÓVEL ONDE FUNCIONAM AS PROMOTORIAS DE ITPAPAJÉ-C3E, REF JANEIRO/2024 E CONFORME CONTRATO 10/202</v>
      </c>
      <c r="F86" s="3" t="s">
        <v>127</v>
      </c>
      <c r="G86" s="6" t="str">
        <f>HYPERLINK("http://www8.mpce.mp.br/Empenhos/150501/NE/2024NE000072.pdf","2024NE000072")</f>
        <v>2024NE000072</v>
      </c>
      <c r="H86" s="7">
        <v>13612</v>
      </c>
      <c r="I86" s="8" t="s">
        <v>140</v>
      </c>
      <c r="J86" s="12" t="s">
        <v>141</v>
      </c>
    </row>
    <row r="87" spans="1:10" ht="38.25" x14ac:dyDescent="0.25">
      <c r="A87" s="2" t="s">
        <v>45</v>
      </c>
      <c r="B87" s="3" t="s">
        <v>142</v>
      </c>
      <c r="C87" s="4" t="str">
        <f>HYPERLINK("https://transparencia-area-fim.mpce.mp.br/#/consulta/processo/pastadigital/092022000276145","09.2022.00027614-5")</f>
        <v>09.2022.00027614-5</v>
      </c>
      <c r="D87" s="5">
        <v>45324</v>
      </c>
      <c r="E87" s="9" t="str">
        <f>HYPERLINK("https://www8.mpce.mp.br/Empenhos/150001/Objeto/36-2022.pdf","LOCAÇÃO DE IMÓVEIS ONDE FUNCIONAM AS PROMOTORIAS DE JUSTIÇA DE ARARIPE, CONTRATO 036/2022/PGJ REFERENTE AO MES DE JAN/2024")</f>
        <v>LOCAÇÃO DE IMÓVEIS ONDE FUNCIONAM AS PROMOTORIAS DE JUSTIÇA DE ARARIPE, CONTRATO 036/2022/PGJ REFERENTE AO MES DE JAN/2024</v>
      </c>
      <c r="F87" s="3" t="s">
        <v>172</v>
      </c>
      <c r="G87" s="6" t="str">
        <f>HYPERLINK("http://www8.mpce.mp.br/Empenhos/150501/NE/2024NE000073.pdf","2024NE000073")</f>
        <v>2024NE000073</v>
      </c>
      <c r="H87" s="7">
        <v>1500</v>
      </c>
      <c r="I87" s="8" t="s">
        <v>202</v>
      </c>
      <c r="J87" s="12" t="s">
        <v>203</v>
      </c>
    </row>
    <row r="88" spans="1:10" ht="38.25" x14ac:dyDescent="0.25">
      <c r="A88" s="2" t="s">
        <v>45</v>
      </c>
      <c r="B88" s="3" t="s">
        <v>142</v>
      </c>
      <c r="C88" s="4" t="str">
        <f>HYPERLINK("https://transparencia-area-fim.mpce.mp.br/#/consulta/processo/pastadigital/092021000121226","09.2021.00012122-6")</f>
        <v>09.2021.00012122-6</v>
      </c>
      <c r="D88" s="5">
        <v>45324</v>
      </c>
      <c r="E88" s="9" t="str">
        <f>HYPERLINK("https://www8.mpce.mp.br/Empenhos/150001/Objeto/34-2021.pdf","LOCAÇÃO DE IMÓVEIS ONDE FUNCIONAM AS PROMOTORIAS DE JUSTIÇA DE SÃO BENEDITO, CONTRATO 034/2021/PGJ REFERENTE AO MES DE JAN/2024")</f>
        <v>LOCAÇÃO DE IMÓVEIS ONDE FUNCIONAM AS PROMOTORIAS DE JUSTIÇA DE SÃO BENEDITO, CONTRATO 034/2021/PGJ REFERENTE AO MES DE JAN/2024</v>
      </c>
      <c r="F88" s="3" t="s">
        <v>172</v>
      </c>
      <c r="G88" s="6" t="str">
        <f>HYPERLINK("http://www8.mpce.mp.br/Empenhos/150501/NE/2024NE000074.pdf","2024NE000074")</f>
        <v>2024NE000074</v>
      </c>
      <c r="H88" s="7">
        <v>2823.27</v>
      </c>
      <c r="I88" s="8" t="s">
        <v>204</v>
      </c>
      <c r="J88" s="12" t="s">
        <v>205</v>
      </c>
    </row>
    <row r="89" spans="1:10" ht="38.25" x14ac:dyDescent="0.25">
      <c r="A89" s="2" t="s">
        <v>20</v>
      </c>
      <c r="B89" s="3" t="s">
        <v>21</v>
      </c>
      <c r="C89" s="4" t="str">
        <f>HYPERLINK("https://transparencia-area-fim.mpce.mp.br/#/consulta/processo/pastadigital/092022000426227","09.2022.00042622-7")</f>
        <v>09.2022.00042622-7</v>
      </c>
      <c r="D89" s="5">
        <v>45324</v>
      </c>
      <c r="E89" s="9" t="str">
        <f>HYPERLINK("https://www8.mpce.mp.br/Empenhos/150001/Objeto/33-2023.pdf","LOCAÇÃO DE IMÓVEIS ONDE FUNCIONAM AS PROMOTORIAS DE JUSTIÇA DE JUCÁS, CONTRATO 033/2023/PGJ REFERENTE AO MES DE JAN/2024")</f>
        <v>LOCAÇÃO DE IMÓVEIS ONDE FUNCIONAM AS PROMOTORIAS DE JUSTIÇA DE JUCÁS, CONTRATO 033/2023/PGJ REFERENTE AO MES DE JAN/2024</v>
      </c>
      <c r="F89" s="3" t="s">
        <v>172</v>
      </c>
      <c r="G89" s="6" t="str">
        <f>HYPERLINK("http://www8.mpce.mp.br/Empenhos/150501/NE/2024NE000075.pdf","2024NE000075")</f>
        <v>2024NE000075</v>
      </c>
      <c r="H89" s="7">
        <v>2500</v>
      </c>
      <c r="I89" s="8" t="s">
        <v>206</v>
      </c>
      <c r="J89" s="12" t="s">
        <v>207</v>
      </c>
    </row>
    <row r="90" spans="1:10" ht="38.25" x14ac:dyDescent="0.25">
      <c r="A90" s="2" t="s">
        <v>45</v>
      </c>
      <c r="B90" s="3" t="s">
        <v>142</v>
      </c>
      <c r="C90" s="4" t="str">
        <f>HYPERLINK("https://transparencia-area-fim.mpce.mp.br/#/consulta/processo/pastadigital/092022000091296","09.2022.00009129-6")</f>
        <v>09.2022.00009129-6</v>
      </c>
      <c r="D90" s="5">
        <v>45324</v>
      </c>
      <c r="E90" s="9" t="str">
        <f>HYPERLINK("https://www8.mpce.mp.br/Empenhos/150001/Objeto/33-2022.pdf","LOCAÇÃO DE IMÓVEIS ONDE FUNCIONAM AS PROMOTORIAS DE JUSTIÇA DE VÁRZEA ALEGRE, CONTRATO 033/2022/PGJ REFERENTE AO MES DE JAN/2024")</f>
        <v>LOCAÇÃO DE IMÓVEIS ONDE FUNCIONAM AS PROMOTORIAS DE JUSTIÇA DE VÁRZEA ALEGRE, CONTRATO 033/2022/PGJ REFERENTE AO MES DE JAN/2024</v>
      </c>
      <c r="F90" s="3" t="s">
        <v>172</v>
      </c>
      <c r="G90" s="6" t="str">
        <f>HYPERLINK("http://www8.mpce.mp.br/Empenhos/150501/NE/2024NE000076.pdf","2024NE000076")</f>
        <v>2024NE000076</v>
      </c>
      <c r="H90" s="7">
        <v>800</v>
      </c>
      <c r="I90" s="8" t="s">
        <v>208</v>
      </c>
      <c r="J90" s="12" t="s">
        <v>209</v>
      </c>
    </row>
    <row r="91" spans="1:10" ht="38.25" x14ac:dyDescent="0.25">
      <c r="A91" s="2" t="s">
        <v>45</v>
      </c>
      <c r="B91" s="3" t="s">
        <v>161</v>
      </c>
      <c r="C91" s="4" t="str">
        <f>HYPERLINK("http://www8.mpce.mp.br/Dispensa/862520178.pdf","8625/20178")</f>
        <v>8625/20178</v>
      </c>
      <c r="D91" s="5">
        <v>45324</v>
      </c>
      <c r="E91" s="9" t="str">
        <f>HYPERLINK("https://www8.mpce.mp.br/Empenhos/150001/Objeto/31-2017.pdf","LOCAÇÃO DE IMÓVEIS ONDE FUNCIONAM AS PROMOTORIAS DE JUSTIÇA DE CANINDÉ, CONTRATO 031/2017/PGJ REFERENTE AO MES DE JAN/2024")</f>
        <v>LOCAÇÃO DE IMÓVEIS ONDE FUNCIONAM AS PROMOTORIAS DE JUSTIÇA DE CANINDÉ, CONTRATO 031/2017/PGJ REFERENTE AO MES DE JAN/2024</v>
      </c>
      <c r="F91" s="3" t="s">
        <v>172</v>
      </c>
      <c r="G91" s="6" t="str">
        <f>HYPERLINK("http://www8.mpce.mp.br/Empenhos/150501/NE/2024NE000077.pdf","2024NE000077")</f>
        <v>2024NE000077</v>
      </c>
      <c r="H91" s="7">
        <v>1080.22</v>
      </c>
      <c r="I91" s="8" t="s">
        <v>210</v>
      </c>
      <c r="J91" s="12" t="s">
        <v>211</v>
      </c>
    </row>
    <row r="92" spans="1:10" ht="38.25" x14ac:dyDescent="0.25">
      <c r="A92" s="2" t="s">
        <v>45</v>
      </c>
      <c r="B92" s="3" t="s">
        <v>142</v>
      </c>
      <c r="C92" s="4" t="str">
        <f>HYPERLINK("https://transparencia-area-fim.mpce.mp.br/#/consulta/processo/pastadigital/092022000264193","09.2022.00026419-3")</f>
        <v>09.2022.00026419-3</v>
      </c>
      <c r="D92" s="5">
        <v>45324</v>
      </c>
      <c r="E92" s="9" t="str">
        <f>HYPERLINK("https://www8.mpce.mp.br/Empenhos/150001/Objeto/28-2022.pdf","LOCAÇÃO DE IMÓVEIS ONDE FUNCIONAM AS PROMOTORIAS DE JUSTIÇA DE AURORA, CONTRATO 028/2022/PGJ REFERENTE AO MES DE JAN/2024")</f>
        <v>LOCAÇÃO DE IMÓVEIS ONDE FUNCIONAM AS PROMOTORIAS DE JUSTIÇA DE AURORA, CONTRATO 028/2022/PGJ REFERENTE AO MES DE JAN/2024</v>
      </c>
      <c r="F92" s="3" t="s">
        <v>172</v>
      </c>
      <c r="G92" s="6" t="str">
        <f>HYPERLINK("http://www8.mpce.mp.br/Empenhos/150501/NE/2024NE000078.pdf","2024NE000078")</f>
        <v>2024NE000078</v>
      </c>
      <c r="H92" s="7">
        <v>2000</v>
      </c>
      <c r="I92" s="8" t="s">
        <v>212</v>
      </c>
      <c r="J92" s="12" t="s">
        <v>213</v>
      </c>
    </row>
    <row r="93" spans="1:10" ht="38.25" x14ac:dyDescent="0.25">
      <c r="A93" s="2" t="s">
        <v>45</v>
      </c>
      <c r="B93" s="3" t="s">
        <v>161</v>
      </c>
      <c r="C93" s="4" t="str">
        <f>HYPERLINK("https://transparencia-area-fim.mpce.mp.br/#/consulta/processo/pastadigital/092021000155016","09.2021.00015501-6")</f>
        <v>09.2021.00015501-6</v>
      </c>
      <c r="D93" s="5">
        <v>45324</v>
      </c>
      <c r="E93" s="9" t="str">
        <f>HYPERLINK("https://www8.mpce.mp.br/Empenhos/150001/Objeto/26-2021.pdf","LOCAÇÃO DE IMÓVEIS ONDE FUNCIONAM AS PROMOTORIAS DE JUSTIÇA DE BREJO SANTO, CONTRATO 026/2021/PGJ REFERENTE AO MES DE JAN/2024")</f>
        <v>LOCAÇÃO DE IMÓVEIS ONDE FUNCIONAM AS PROMOTORIAS DE JUSTIÇA DE BREJO SANTO, CONTRATO 026/2021/PGJ REFERENTE AO MES DE JAN/2024</v>
      </c>
      <c r="F93" s="3" t="s">
        <v>172</v>
      </c>
      <c r="G93" s="6" t="str">
        <f>HYPERLINK("http://www8.mpce.mp.br/Empenhos/150501/NE/2024NE000079.pdf","2024NE000079")</f>
        <v>2024NE000079</v>
      </c>
      <c r="H93" s="7">
        <v>2601.5500000000002</v>
      </c>
      <c r="I93" s="8" t="s">
        <v>214</v>
      </c>
      <c r="J93" s="12" t="s">
        <v>215</v>
      </c>
    </row>
    <row r="94" spans="1:10" ht="38.25" x14ac:dyDescent="0.25">
      <c r="A94" s="2" t="s">
        <v>45</v>
      </c>
      <c r="B94" s="3" t="s">
        <v>161</v>
      </c>
      <c r="C94" s="4" t="str">
        <f>HYPERLINK("http://www8.mpce.mp.br/Dispensa/3642820165.pdf","36428/2016-5")</f>
        <v>36428/2016-5</v>
      </c>
      <c r="D94" s="5">
        <v>45324</v>
      </c>
      <c r="E94" s="9" t="str">
        <f>HYPERLINK("https://www8.mpce.mp.br/Empenhos/150001/Objeto/26-2017.pdf","LOCAÇÃO DE IMÓVEIS ONDE FUNCIONAM AS PROMOTORIAS DE JUSTIÇA DE MARANGUAPE, CONTRATO 026/2017/PGJ REFERENTE AO MES DE JAN/2024")</f>
        <v>LOCAÇÃO DE IMÓVEIS ONDE FUNCIONAM AS PROMOTORIAS DE JUSTIÇA DE MARANGUAPE, CONTRATO 026/2017/PGJ REFERENTE AO MES DE JAN/2024</v>
      </c>
      <c r="F94" s="3" t="s">
        <v>172</v>
      </c>
      <c r="G94" s="6" t="str">
        <f>HYPERLINK("http://www8.mpce.mp.br/Empenhos/150501/NE/2024NE000080.pdf","2024NE000080")</f>
        <v>2024NE000080</v>
      </c>
      <c r="H94" s="7">
        <v>4827.58</v>
      </c>
      <c r="I94" s="8" t="s">
        <v>216</v>
      </c>
      <c r="J94" s="12" t="s">
        <v>217</v>
      </c>
    </row>
    <row r="95" spans="1:10" ht="38.25" x14ac:dyDescent="0.25">
      <c r="A95" s="2" t="s">
        <v>45</v>
      </c>
      <c r="B95" s="3" t="s">
        <v>142</v>
      </c>
      <c r="C95" s="4" t="str">
        <f>HYPERLINK("https://transparencia-area-fim.mpce.mp.br/#/consulta/processo/pastadigital/092021000047808","09.2021.00004780-8")</f>
        <v>09.2021.00004780-8</v>
      </c>
      <c r="D95" s="5">
        <v>45324</v>
      </c>
      <c r="E95" s="9" t="str">
        <f>HYPERLINK("https://www8.mpce.mp.br/Empenhos/150001/Objeto/25-2021.pdf","LOCAÇÃO DE IMÓVEIS ONDE FUNCIONAM AS PROMOTORIAS DE JUSTIÇA DE ALTO SANTO, CONTRATO 025/2021/PGJ REFERENTE AO MES DE JAN/2024")</f>
        <v>LOCAÇÃO DE IMÓVEIS ONDE FUNCIONAM AS PROMOTORIAS DE JUSTIÇA DE ALTO SANTO, CONTRATO 025/2021/PGJ REFERENTE AO MES DE JAN/2024</v>
      </c>
      <c r="F95" s="3" t="s">
        <v>172</v>
      </c>
      <c r="G95" s="6" t="str">
        <f>HYPERLINK("http://www8.mpce.mp.br/Empenhos/150501/NE/2024NE000081.pdf","2024NE000081")</f>
        <v>2024NE000081</v>
      </c>
      <c r="H95" s="7">
        <v>1651.15</v>
      </c>
      <c r="I95" s="8" t="s">
        <v>218</v>
      </c>
      <c r="J95" s="12" t="s">
        <v>219</v>
      </c>
    </row>
    <row r="96" spans="1:10" ht="38.25" x14ac:dyDescent="0.25">
      <c r="A96" s="2" t="s">
        <v>45</v>
      </c>
      <c r="B96" s="3" t="s">
        <v>142</v>
      </c>
      <c r="C96" s="4" t="str">
        <f>HYPERLINK("https://transparencia-area-fim.mpce.mp.br/#/consulta/processo/pastadigital/092021000166790","09.2021.00016679-0")</f>
        <v>09.2021.00016679-0</v>
      </c>
      <c r="D96" s="5">
        <v>45324</v>
      </c>
      <c r="E96" s="9" t="str">
        <f>HYPERLINK("https://www8.mpce.mp.br/Empenhos/150001/Objeto/24-2022.pdf","LOCAÇÃO DE IMÓVEIS ONDE FUNCIONAM AS PROMOTORIAS DE JUSTIÇA DE HORIZONTE, CONTRATO 024/2022/PGJ REFERENTE AO MES DE JAN/2024")</f>
        <v>LOCAÇÃO DE IMÓVEIS ONDE FUNCIONAM AS PROMOTORIAS DE JUSTIÇA DE HORIZONTE, CONTRATO 024/2022/PGJ REFERENTE AO MES DE JAN/2024</v>
      </c>
      <c r="F96" s="3" t="s">
        <v>172</v>
      </c>
      <c r="G96" s="6" t="str">
        <f>HYPERLINK("http://www8.mpce.mp.br/Empenhos/150501/NE/2024NE000082.pdf","2024NE000082")</f>
        <v>2024NE000082</v>
      </c>
      <c r="H96" s="7">
        <v>2400</v>
      </c>
      <c r="I96" s="8" t="s">
        <v>220</v>
      </c>
      <c r="J96" s="12" t="s">
        <v>221</v>
      </c>
    </row>
    <row r="97" spans="1:10" ht="38.25" x14ac:dyDescent="0.25">
      <c r="A97" s="2" t="s">
        <v>45</v>
      </c>
      <c r="B97" s="3" t="s">
        <v>142</v>
      </c>
      <c r="C97" s="4" t="str">
        <f>HYPERLINK("http://www8.mpce.mp.br/Dispensa/575920103.pdf","5759/2010-3")</f>
        <v>5759/2010-3</v>
      </c>
      <c r="D97" s="5">
        <v>45324</v>
      </c>
      <c r="E97" s="9" t="str">
        <f>HYPERLINK("https://www8.mpce.mp.br/Empenhos/150001/Objeto/22-2010.pdf","LOCAÇÃO DE IMÓVEIS ONDE FUNCIONAM AS PROMOTORIAS DE JUSTIÇA DE GUAIÚBA, CONTRATO 022/2010/PGJ REFERENTE AO MES DE JAN/2024")</f>
        <v>LOCAÇÃO DE IMÓVEIS ONDE FUNCIONAM AS PROMOTORIAS DE JUSTIÇA DE GUAIÚBA, CONTRATO 022/2010/PGJ REFERENTE AO MES DE JAN/2024</v>
      </c>
      <c r="F97" s="3" t="s">
        <v>172</v>
      </c>
      <c r="G97" s="6" t="str">
        <f>HYPERLINK("http://www8.mpce.mp.br/Empenhos/150501/NE/2024NE000083.pdf","2024NE000083")</f>
        <v>2024NE000083</v>
      </c>
      <c r="H97" s="7">
        <v>2341.9699999999998</v>
      </c>
      <c r="I97" s="8" t="s">
        <v>222</v>
      </c>
      <c r="J97" s="12" t="s">
        <v>223</v>
      </c>
    </row>
    <row r="98" spans="1:10" ht="38.25" x14ac:dyDescent="0.25">
      <c r="A98" s="2" t="s">
        <v>45</v>
      </c>
      <c r="B98" s="3" t="s">
        <v>161</v>
      </c>
      <c r="C98" s="4" t="str">
        <f>HYPERLINK("http://www8.mpce.mp.br/Dispensa/3657120162.pdf","3657120162")</f>
        <v>3657120162</v>
      </c>
      <c r="D98" s="5">
        <v>45324</v>
      </c>
      <c r="E98" s="9" t="str">
        <f>HYPERLINK("https://www8.mpce.mp.br/Empenhos/150001/Objeto/12-2017.pdf","LOCAÇÃO DE IMÓVEIS ONDE FUNCIONAM AS PROMOTORIAS DE JUSTIÇA DE JUAZEIRO DO NORTE, CONTRATO 012/2017/PGJ REFERENTE AO MES DE JAN/2024")</f>
        <v>LOCAÇÃO DE IMÓVEIS ONDE FUNCIONAM AS PROMOTORIAS DE JUSTIÇA DE JUAZEIRO DO NORTE, CONTRATO 012/2017/PGJ REFERENTE AO MES DE JAN/2024</v>
      </c>
      <c r="F98" s="3" t="s">
        <v>172</v>
      </c>
      <c r="G98" s="6" t="str">
        <f>HYPERLINK("http://www8.mpce.mp.br/Empenhos/150501/NE/2024NE000084.pdf","2024NE000084")</f>
        <v>2024NE000084</v>
      </c>
      <c r="H98" s="7">
        <v>2022.03</v>
      </c>
      <c r="I98" s="8" t="s">
        <v>224</v>
      </c>
      <c r="J98" s="12" t="s">
        <v>225</v>
      </c>
    </row>
    <row r="99" spans="1:10" ht="38.25" x14ac:dyDescent="0.25">
      <c r="A99" s="2" t="s">
        <v>45</v>
      </c>
      <c r="B99" s="3" t="s">
        <v>142</v>
      </c>
      <c r="C99" s="4" t="str">
        <f>HYPERLINK("http://www8.mpce.mp.br/Dispensa/4572720144.pdf","45727/2014-4")</f>
        <v>45727/2014-4</v>
      </c>
      <c r="D99" s="5">
        <v>45324</v>
      </c>
      <c r="E99" s="9" t="str">
        <f>HYPERLINK("https://www8.mpce.mp.br/Empenhos/150001/Objeto/01-2015.pdf","LOCAÇÃO DE IMÓVEIS ONDE FUNCIONAM AS PROMOTORIAS DE JUSTIÇA DE JUAZEIRO DO NORTE, CONTRATO 001/2015/PGJ REFERENTE AO MES DE JAN/2024")</f>
        <v>LOCAÇÃO DE IMÓVEIS ONDE FUNCIONAM AS PROMOTORIAS DE JUSTIÇA DE JUAZEIRO DO NORTE, CONTRATO 001/2015/PGJ REFERENTE AO MES DE JAN/2024</v>
      </c>
      <c r="F99" s="3" t="s">
        <v>127</v>
      </c>
      <c r="G99" s="6" t="str">
        <f>HYPERLINK("http://www8.mpce.mp.br/Empenhos/150501/NE/2024NE000085.pdf","2024NE000085")</f>
        <v>2024NE000085</v>
      </c>
      <c r="H99" s="7">
        <v>32762.63</v>
      </c>
      <c r="I99" s="8" t="s">
        <v>226</v>
      </c>
      <c r="J99" s="12" t="s">
        <v>227</v>
      </c>
    </row>
    <row r="100" spans="1:10" ht="38.25" x14ac:dyDescent="0.25">
      <c r="A100" s="2" t="s">
        <v>45</v>
      </c>
      <c r="B100" s="3" t="s">
        <v>147</v>
      </c>
      <c r="C100" s="4" t="str">
        <f>HYPERLINK("https://transparencia-area-fim.mpce.mp.br/#/consulta/processo/pastadigital/092021000244550","09.2021.00024455-0")</f>
        <v>09.2021.00024455-0</v>
      </c>
      <c r="D100" s="5">
        <v>45324</v>
      </c>
      <c r="E100" s="9" t="str">
        <f>HYPERLINK("https://www8.mpce.mp.br/Empenhos/150001/Objeto/10-2022.pdf","ALUGUEL DO IMÓVEL ONDE FUNCIONAM AS PROMOTORIAS DE ICÓ-CE REF MÊS DE JANEIRO CONFORME CONTRATO 010/2022..")</f>
        <v>ALUGUEL DO IMÓVEL ONDE FUNCIONAM AS PROMOTORIAS DE ICÓ-CE REF MÊS DE JANEIRO CONFORME CONTRATO 010/2022..</v>
      </c>
      <c r="F100" s="3" t="s">
        <v>172</v>
      </c>
      <c r="G100" s="6" t="str">
        <f>HYPERLINK("http://www8.mpce.mp.br/Empenhos/150501/NE/2024NE000086.pdf","2024NE000086")</f>
        <v>2024NE000086</v>
      </c>
      <c r="H100" s="7">
        <v>13486.5</v>
      </c>
      <c r="I100" s="8" t="s">
        <v>228</v>
      </c>
      <c r="J100" s="12" t="s">
        <v>229</v>
      </c>
    </row>
    <row r="101" spans="1:10" ht="38.25" x14ac:dyDescent="0.25">
      <c r="A101" s="2" t="s">
        <v>45</v>
      </c>
      <c r="B101" s="3" t="s">
        <v>142</v>
      </c>
      <c r="C101" s="4" t="str">
        <f>HYPERLINK("http://www8.mpce.mp.br/Dispensa/0013520168.pdf","00135/2016-8")</f>
        <v>00135/2016-8</v>
      </c>
      <c r="D101" s="5">
        <v>45327</v>
      </c>
      <c r="E101" s="9" t="str">
        <f>HYPERLINK("https://www8.mpce.mp.br/Empenhos/150001/Objeto/09-2016.pdf","LOCAÇÃO DE IMÓVEIS ONDE FUNCIONAM AS PROMOTORIAS DE JUSTIÇA DE CANINDÉ, CONTRATO 009/2016/PGJ REFERENTE AO MES DE JAN/2024")</f>
        <v>LOCAÇÃO DE IMÓVEIS ONDE FUNCIONAM AS PROMOTORIAS DE JUSTIÇA DE CANINDÉ, CONTRATO 009/2016/PGJ REFERENTE AO MES DE JAN/2024</v>
      </c>
      <c r="F101" s="3" t="s">
        <v>172</v>
      </c>
      <c r="G101" s="6" t="str">
        <f>HYPERLINK("http://www8.mpce.mp.br/Empenhos/150501/NE/2024NE000087.pdf","2024NE000087")</f>
        <v>2024NE000087</v>
      </c>
      <c r="H101" s="7">
        <v>1685.82</v>
      </c>
      <c r="I101" s="8" t="s">
        <v>210</v>
      </c>
      <c r="J101" s="12" t="s">
        <v>211</v>
      </c>
    </row>
    <row r="102" spans="1:10" ht="38.25" x14ac:dyDescent="0.25">
      <c r="A102" s="2" t="s">
        <v>45</v>
      </c>
      <c r="B102" s="3" t="s">
        <v>142</v>
      </c>
      <c r="C102" s="4" t="str">
        <f>HYPERLINK("http://www8.mpce.mp.br/Dispensa/6795020160.pdf","6795020160")</f>
        <v>6795020160</v>
      </c>
      <c r="D102" s="5">
        <v>45327</v>
      </c>
      <c r="E102" s="9" t="str">
        <f>HYPERLINK("https://www8.mpce.mp.br/Empenhos/150001/Objeto/08-2017.pdf","LOCAÇÃO DE IMÓVEIS ONDE FUNCIONAM AS PROMOTORIAS DE JUSTIÇA DE JARDIM, CONTRATO 008/2017/PGJ REFERENTE AO MES DE JAN/2024")</f>
        <v>LOCAÇÃO DE IMÓVEIS ONDE FUNCIONAM AS PROMOTORIAS DE JUSTIÇA DE JARDIM, CONTRATO 008/2017/PGJ REFERENTE AO MES DE JAN/2024</v>
      </c>
      <c r="F102" s="3" t="s">
        <v>172</v>
      </c>
      <c r="G102" s="6" t="str">
        <f>HYPERLINK("http://www8.mpce.mp.br/Empenhos/150501/NE/2024NE000088.pdf","2024NE000088")</f>
        <v>2024NE000088</v>
      </c>
      <c r="H102" s="7">
        <v>680.03</v>
      </c>
      <c r="I102" s="8" t="s">
        <v>230</v>
      </c>
      <c r="J102" s="12" t="s">
        <v>231</v>
      </c>
    </row>
    <row r="103" spans="1:10" ht="38.25" x14ac:dyDescent="0.25">
      <c r="A103" s="2" t="s">
        <v>45</v>
      </c>
      <c r="B103" s="3" t="s">
        <v>142</v>
      </c>
      <c r="C103" s="4" t="str">
        <f>HYPERLINK("http://www8.mpce.mp.br/Dispensa/3103320192.pdf","31033/2019-2")</f>
        <v>31033/2019-2</v>
      </c>
      <c r="D103" s="5">
        <v>45327</v>
      </c>
      <c r="E103" s="9" t="str">
        <f>HYPERLINK("https://www8.mpce.mp.br/Empenhos/150001/Objeto/04-2020.pdf","LOCAÇÃO DE IMÓVEIS ONDE FUNCIONAM AS PROMOTORIAS DE JUSTIÇA DE BATURITÉ, CONTRATO 004/2020/PGJ REFERENTE AO MES DE JAN/2024")</f>
        <v>LOCAÇÃO DE IMÓVEIS ONDE FUNCIONAM AS PROMOTORIAS DE JUSTIÇA DE BATURITÉ, CONTRATO 004/2020/PGJ REFERENTE AO MES DE JAN/2024</v>
      </c>
      <c r="F103" s="3" t="s">
        <v>172</v>
      </c>
      <c r="G103" s="6" t="str">
        <f>HYPERLINK("http://www8.mpce.mp.br/Empenhos/150501/NE/2024NE000089.pdf","2024NE000089")</f>
        <v>2024NE000089</v>
      </c>
      <c r="H103" s="7">
        <v>2000</v>
      </c>
      <c r="I103" s="8" t="s">
        <v>232</v>
      </c>
      <c r="J103" s="12" t="s">
        <v>233</v>
      </c>
    </row>
    <row r="104" spans="1:10" ht="51" x14ac:dyDescent="0.25">
      <c r="A104" s="2" t="s">
        <v>45</v>
      </c>
      <c r="B104" s="3" t="s">
        <v>142</v>
      </c>
      <c r="C104" s="4" t="str">
        <f>HYPERLINK("http://www8.mpce.mp.br/Dispensa/3657120162.pdf","3657120162")</f>
        <v>3657120162</v>
      </c>
      <c r="D104" s="5">
        <v>45327</v>
      </c>
      <c r="E104" s="9" t="str">
        <f>HYPERLINK("https://www8.mpce.mp.br/Empenhos/150001/Objeto/12-2017.pdf","TAXAS CONDOMINIAIS DOS IMÓVEIS ONDE FUNCIONAM AS PROMOTORIAS DE JUSTIÇA DE JUAZEIRO DO NORTE, CONTRATO 012/2017/PGJ REFERENTE AO MES DE JAN, FEV E MAR/2024 - POR ESTIMATIVA")</f>
        <v>TAXAS CONDOMINIAIS DOS IMÓVEIS ONDE FUNCIONAM AS PROMOTORIAS DE JUSTIÇA DE JUAZEIRO DO NORTE, CONTRATO 012/2017/PGJ REFERENTE AO MES DE JAN, FEV E MAR/2024 - POR ESTIMATIVA</v>
      </c>
      <c r="F104" s="3" t="s">
        <v>234</v>
      </c>
      <c r="G104" s="6" t="str">
        <f>HYPERLINK("http://www8.mpce.mp.br/Empenhos/150501/NE/2024NE000090.pdf","2024NE000090")</f>
        <v>2024NE000090</v>
      </c>
      <c r="H104" s="7">
        <v>2280</v>
      </c>
      <c r="I104" s="8" t="s">
        <v>224</v>
      </c>
      <c r="J104" s="12" t="s">
        <v>225</v>
      </c>
    </row>
    <row r="105" spans="1:10" ht="38.25" x14ac:dyDescent="0.25">
      <c r="A105" s="2" t="s">
        <v>45</v>
      </c>
      <c r="B105" s="3" t="s">
        <v>130</v>
      </c>
      <c r="C105" s="4" t="str">
        <f>HYPERLINK("https://transparencia-area-fim.mpce.mp.br/#/consulta/processo/pastadigital/092021000079244","09.2021.00007924-4")</f>
        <v>09.2021.00007924-4</v>
      </c>
      <c r="D105" s="5">
        <v>45327</v>
      </c>
      <c r="E105" s="9" t="str">
        <f>HYPERLINK("https://www8.mpce.mp.br/Empenhos/150001/Objeto/27-2021.pdf","LOCAÇÃO DE IMÓVEIS ONDE FUNCIONAM AS PROMOTORIAS DE EUSÉBIO-CE, REFERENTE AO MÊS DE JANEIRO/2024, CONTRATO 027/2021.")</f>
        <v>LOCAÇÃO DE IMÓVEIS ONDE FUNCIONAM AS PROMOTORIAS DE EUSÉBIO-CE, REFERENTE AO MÊS DE JANEIRO/2024, CONTRATO 027/2021.</v>
      </c>
      <c r="F105" s="3" t="s">
        <v>127</v>
      </c>
      <c r="G105" s="6" t="str">
        <f>HYPERLINK("http://www8.mpce.mp.br/Empenhos/150501/NE/2024NE000091.pdf","2024NE000091")</f>
        <v>2024NE000091</v>
      </c>
      <c r="H105" s="7">
        <v>5546.1</v>
      </c>
      <c r="I105" s="8" t="s">
        <v>155</v>
      </c>
      <c r="J105" s="12" t="s">
        <v>156</v>
      </c>
    </row>
    <row r="106" spans="1:10" ht="51" x14ac:dyDescent="0.25">
      <c r="A106" s="2" t="s">
        <v>45</v>
      </c>
      <c r="B106" s="3" t="s">
        <v>142</v>
      </c>
      <c r="C106" s="4" t="str">
        <f>HYPERLINK("http://www8.mpce.mp.br/Dispensa/2398120192.pdf","23981/2019-2")</f>
        <v>23981/2019-2</v>
      </c>
      <c r="D106" s="5">
        <v>45327</v>
      </c>
      <c r="E106" s="9" t="str">
        <f>HYPERLINK("https://www8.mpce.mp.br/Empenhos/150001/Objeto/63-2019.pdf","TAXAS CONDOMINIAIS DOS IMÓVEIS ONDE FUNCIONAM AS PROMOTORIAS DE JUSTIÇA DE JUAZEIRO DO NORTE, CONTRATO 063/2019/PGJ REFERENTE AO MES DE JAN, FEV E MAR/2024 - POR ESTIMATIVA")</f>
        <v>TAXAS CONDOMINIAIS DOS IMÓVEIS ONDE FUNCIONAM AS PROMOTORIAS DE JUSTIÇA DE JUAZEIRO DO NORTE, CONTRATO 063/2019/PGJ REFERENTE AO MES DE JAN, FEV E MAR/2024 - POR ESTIMATIVA</v>
      </c>
      <c r="F106" s="3" t="s">
        <v>234</v>
      </c>
      <c r="G106" s="6" t="str">
        <f>HYPERLINK("http://www8.mpce.mp.br/Empenhos/150501/NE/2024NE000092.pdf","2024NE000092")</f>
        <v>2024NE000092</v>
      </c>
      <c r="H106" s="7">
        <v>1140</v>
      </c>
      <c r="I106" s="8" t="s">
        <v>177</v>
      </c>
      <c r="J106" s="12" t="s">
        <v>178</v>
      </c>
    </row>
    <row r="107" spans="1:10" ht="51" x14ac:dyDescent="0.25">
      <c r="A107" s="2" t="s">
        <v>45</v>
      </c>
      <c r="B107" s="3" t="s">
        <v>235</v>
      </c>
      <c r="C107" s="4" t="str">
        <f>HYPERLINK("https://transparencia-area-fim.mpce.mp.br/#/consulta/processo/pastadigital/092022000120475","09.2022.00012047-5")</f>
        <v>09.2022.00012047-5</v>
      </c>
      <c r="D107" s="5">
        <v>45322</v>
      </c>
      <c r="E107" s="9" t="str">
        <f>HYPERLINK("https://www8.mpce.mp.br/Empenhos/150001/Objeto/54-2022.pdf","SERVIÇOS DE INFORMAÇÕES DE CRÉDITOS, REF A CONSULTAS DE DADOS CADASTRAIS DE AMBITO NACIONAL, REF COMPETENCIA DE JANEIRO DE 2024 CONFORME CONTRATO 54/2022.")</f>
        <v>SERVIÇOS DE INFORMAÇÕES DE CRÉDITOS, REF A CONSULTAS DE DADOS CADASTRAIS DE AMBITO NACIONAL, REF COMPETENCIA DE JANEIRO DE 2024 CONFORME CONTRATO 54/2022.</v>
      </c>
      <c r="F107" s="3" t="s">
        <v>236</v>
      </c>
      <c r="G107" s="6" t="str">
        <f>HYPERLINK("http://www8.mpce.mp.br/Empenhos/150001/NE/2024NE000092.pdf","2024NE000092")</f>
        <v>2024NE000092</v>
      </c>
      <c r="H107" s="7">
        <v>17000</v>
      </c>
      <c r="I107" s="8" t="s">
        <v>237</v>
      </c>
      <c r="J107" s="12" t="s">
        <v>238</v>
      </c>
    </row>
    <row r="108" spans="1:10" ht="38.25" x14ac:dyDescent="0.25">
      <c r="A108" s="2" t="s">
        <v>45</v>
      </c>
      <c r="B108" s="3" t="s">
        <v>239</v>
      </c>
      <c r="C108" s="4" t="str">
        <f>HYPERLINK("https://transparencia-area-fim.mpce.mp.br/#/consulta/processo/pastadigital/092022000110511","09.2022.00011051-1")</f>
        <v>09.2022.00011051-1</v>
      </c>
      <c r="D108" s="5">
        <v>45327</v>
      </c>
      <c r="E108" s="9" t="str">
        <f>HYPERLINK("https://www8.mpce.mp.br/Empenhos/150001/Objeto/38-2022.pdf","LOCAÇÃO DE IMÓVEL ONDE FUNCIONAM AS PROMOTORIAS DE NOVA OLINDA, CONFORME CONTRATO 038/2022,REFERENTE AO MES DE JANEIRO/2024.")</f>
        <v>LOCAÇÃO DE IMÓVEL ONDE FUNCIONAM AS PROMOTORIAS DE NOVA OLINDA, CONFORME CONTRATO 038/2022,REFERENTE AO MES DE JANEIRO/2024.</v>
      </c>
      <c r="F108" s="3" t="s">
        <v>172</v>
      </c>
      <c r="G108" s="6" t="str">
        <f>HYPERLINK("http://www8.mpce.mp.br/Empenhos/150501/NE/2024NE000093.pdf","2024NE000093")</f>
        <v>2024NE000093</v>
      </c>
      <c r="H108" s="7">
        <v>2000</v>
      </c>
      <c r="I108" s="8" t="s">
        <v>240</v>
      </c>
      <c r="J108" s="12" t="s">
        <v>241</v>
      </c>
    </row>
    <row r="109" spans="1:10" ht="51" x14ac:dyDescent="0.25">
      <c r="A109" s="2" t="s">
        <v>45</v>
      </c>
      <c r="B109" s="3" t="s">
        <v>142</v>
      </c>
      <c r="C109" s="4" t="str">
        <f>HYPERLINK("https://transparencia-area-fim.mpce.mp.br/#/consulta/processo/pastadigital/092021000079244","09.2021.00007924-4")</f>
        <v>09.2021.00007924-4</v>
      </c>
      <c r="D109" s="5">
        <v>45327</v>
      </c>
      <c r="E109" s="9" t="str">
        <f>HYPERLINK("https://www8.mpce.mp.br/Empenhos/150001/Objeto/27-2021.pdf","TAXAS CONDOMINIAIS DOS IMÓVEIS ONDE FUNCIONAM AS PROMOTORIAS DE JUSTIÇA DE EUSÉBIO, CONTRATO 027/2021/PGJ REFERENTE AO MES DE JAN, FEV E MAR/2024 - POR ESTIMATIVA")</f>
        <v>TAXAS CONDOMINIAIS DOS IMÓVEIS ONDE FUNCIONAM AS PROMOTORIAS DE JUSTIÇA DE EUSÉBIO, CONTRATO 027/2021/PGJ REFERENTE AO MES DE JAN, FEV E MAR/2024 - POR ESTIMATIVA</v>
      </c>
      <c r="F109" s="3" t="s">
        <v>242</v>
      </c>
      <c r="G109" s="6" t="str">
        <f>HYPERLINK("http://www8.mpce.mp.br/Empenhos/150501/NE/2024NE000094.pdf","2024NE000094")</f>
        <v>2024NE000094</v>
      </c>
      <c r="H109" s="7">
        <v>4463.6400000000003</v>
      </c>
      <c r="I109" s="8" t="s">
        <v>155</v>
      </c>
      <c r="J109" s="12" t="s">
        <v>156</v>
      </c>
    </row>
    <row r="110" spans="1:10" ht="51" x14ac:dyDescent="0.25">
      <c r="A110" s="2" t="s">
        <v>45</v>
      </c>
      <c r="B110" s="3" t="s">
        <v>142</v>
      </c>
      <c r="C110" s="4" t="str">
        <f>HYPERLINK("http://www8.mpce.mp.br/Dispensa/1291020194.pdf","12910/2019-4")</f>
        <v>12910/2019-4</v>
      </c>
      <c r="D110" s="5">
        <v>45327</v>
      </c>
      <c r="E110" s="9" t="str">
        <f>HYPERLINK("https://www8.mpce.mp.br/Empenhos/150001/Objeto/39-2019.pdf","TAXAS CONDOMINIAIS DOS IMÓVEIS ONDE FUNCIONAM AS PROMOTORIAS DA INFÂNCIA E JUVENTUDE, CONTRATO 039/2019/PGJ REFERENTE AO MES DE JAN, FEV E MAR/2024 - POR ESTIMATIVA")</f>
        <v>TAXAS CONDOMINIAIS DOS IMÓVEIS ONDE FUNCIONAM AS PROMOTORIAS DA INFÂNCIA E JUVENTUDE, CONTRATO 039/2019/PGJ REFERENTE AO MES DE JAN, FEV E MAR/2024 - POR ESTIMATIVA</v>
      </c>
      <c r="F110" s="3" t="s">
        <v>242</v>
      </c>
      <c r="G110" s="6" t="str">
        <f>HYPERLINK("http://www8.mpce.mp.br/Empenhos/150501/NE/2024NE000095.pdf","2024NE000095")</f>
        <v>2024NE000095</v>
      </c>
      <c r="H110" s="7">
        <v>8177.55</v>
      </c>
      <c r="I110" s="8" t="s">
        <v>159</v>
      </c>
      <c r="J110" s="12" t="s">
        <v>160</v>
      </c>
    </row>
    <row r="111" spans="1:10" ht="38.25" x14ac:dyDescent="0.25">
      <c r="A111" s="2" t="s">
        <v>45</v>
      </c>
      <c r="B111" s="3" t="s">
        <v>239</v>
      </c>
      <c r="C111" s="4" t="str">
        <f>HYPERLINK("http://www8.mpce.mp.br/Dispensa/146020136.pdf","1460/2013-6")</f>
        <v>1460/2013-6</v>
      </c>
      <c r="D111" s="5">
        <v>45327</v>
      </c>
      <c r="E111" s="9" t="str">
        <f>HYPERLINK("https://www8.mpce.mp.br/Empenhos/150001/Objeto/39-2013.pdf","LOCAÇÃO DE IMÓVEL ONDE FUNCIONAM AS PROMOTORIAS DE CASCAVEL-CE REF A JANEIRO DE 2024, CONFORME CONTRATO 39/2013")</f>
        <v>LOCAÇÃO DE IMÓVEL ONDE FUNCIONAM AS PROMOTORIAS DE CASCAVEL-CE REF A JANEIRO DE 2024, CONFORME CONTRATO 39/2013</v>
      </c>
      <c r="F111" s="3" t="s">
        <v>172</v>
      </c>
      <c r="G111" s="6" t="str">
        <f>HYPERLINK("http://www8.mpce.mp.br/Empenhos/150501/NE/2024NE000096.pdf","2024NE000096")</f>
        <v>2024NE000096</v>
      </c>
      <c r="H111" s="7">
        <v>4341.5600000000004</v>
      </c>
      <c r="I111" s="8" t="s">
        <v>243</v>
      </c>
      <c r="J111" s="12" t="s">
        <v>244</v>
      </c>
    </row>
    <row r="112" spans="1:10" ht="51" x14ac:dyDescent="0.25">
      <c r="A112" s="2" t="s">
        <v>45</v>
      </c>
      <c r="B112" s="3" t="s">
        <v>192</v>
      </c>
      <c r="C112" s="4" t="str">
        <f>HYPERLINK("https://transparencia-area-fim.mpce.mp.br/#/consulta/processo/pastadigital/092021000219739","09.2021.00021973-9")</f>
        <v>09.2021.00021973-9</v>
      </c>
      <c r="D112" s="5">
        <v>45328</v>
      </c>
      <c r="E112" s="9" t="str">
        <f>HYPERLINK("https://www8.mpce.mp.br/Empenhos/150001/Objeto/45-2021.pdf","TAXAS CONDOMINIAIS DOS MESES DE JANEIRO A MARÇO/2023V DO IMÓVEL DAS PROMOTORIAS DE JUSTIÇA DO EUZÉBIO, POR ESTIMATIVA E CONFORME CONTRATO 45/2021")</f>
        <v>TAXAS CONDOMINIAIS DOS MESES DE JANEIRO A MARÇO/2023V DO IMÓVEL DAS PROMOTORIAS DE JUSTIÇA DO EUZÉBIO, POR ESTIMATIVA E CONFORME CONTRATO 45/2021</v>
      </c>
      <c r="F112" s="3" t="s">
        <v>242</v>
      </c>
      <c r="G112" s="6" t="str">
        <f>HYPERLINK("http://www8.mpce.mp.br/Empenhos/150501/NE/2024NE000098.pdf","2024NE000098")</f>
        <v>2024NE000098</v>
      </c>
      <c r="H112" s="7">
        <v>1387.47</v>
      </c>
      <c r="I112" s="8" t="s">
        <v>155</v>
      </c>
      <c r="J112" s="12" t="s">
        <v>156</v>
      </c>
    </row>
    <row r="113" spans="1:10" ht="38.25" x14ac:dyDescent="0.25">
      <c r="A113" s="2" t="s">
        <v>45</v>
      </c>
      <c r="B113" s="3" t="s">
        <v>201</v>
      </c>
      <c r="C113" s="4" t="str">
        <f>HYPERLINK("https://transparencia-area-fim.mpce.mp.br/#/consulta/processo/pastadigital/092022000343795","09.2022.00034379-5")</f>
        <v>09.2022.00034379-5</v>
      </c>
      <c r="D113" s="5">
        <v>45328</v>
      </c>
      <c r="E113" s="9" t="str">
        <f>HYPERLINK("https://www8.mpce.mp.br/Empenhos/150001/Objeto/25-2023.pdf","LOCAÇÃO DE IMÓVEL ONDE FUNCIONAM AS PROMOTORIAS DE COMARCA DE CANINDÉ-CE, REFERENTE AO MÊS DE JANEIRO/2024 CONFORME CONTRATO 25/2023")</f>
        <v>LOCAÇÃO DE IMÓVEL ONDE FUNCIONAM AS PROMOTORIAS DE COMARCA DE CANINDÉ-CE, REFERENTE AO MÊS DE JANEIRO/2024 CONFORME CONTRATO 25/2023</v>
      </c>
      <c r="F113" s="3" t="s">
        <v>127</v>
      </c>
      <c r="G113" s="6" t="str">
        <f>HYPERLINK("http://www8.mpce.mp.br/Empenhos/150501/NE/2024NE000099.pdf","2024NE000099")</f>
        <v>2024NE000099</v>
      </c>
      <c r="H113" s="7">
        <v>14000</v>
      </c>
      <c r="I113" s="8" t="s">
        <v>245</v>
      </c>
      <c r="J113" s="12" t="s">
        <v>246</v>
      </c>
    </row>
    <row r="114" spans="1:10" ht="38.25" x14ac:dyDescent="0.25">
      <c r="A114" s="2" t="s">
        <v>45</v>
      </c>
      <c r="B114" s="3" t="s">
        <v>192</v>
      </c>
      <c r="C114" s="4" t="str">
        <f>HYPERLINK("http://www8.mpce.mp.br/Dispensa/4503020176.pdf","45030/2017-6")</f>
        <v>45030/2017-6</v>
      </c>
      <c r="D114" s="5">
        <v>45329</v>
      </c>
      <c r="E114" s="9" t="str">
        <f>HYPERLINK("https://www8.mpce.mp.br/Empenhos/150001/Objeto/74-2019.pdf","LOCAÇÃO DE IMÓVEL ONDE FUNCIONA A PROMOTORIA DE JUSTIÇA DE GRANJA-CE, REFERENTE AO CONTRATO 074/2019 E RELATIVO AO MÊS DE JANEIRO/2024.")</f>
        <v>LOCAÇÃO DE IMÓVEL ONDE FUNCIONA A PROMOTORIA DE JUSTIÇA DE GRANJA-CE, REFERENTE AO CONTRATO 074/2019 E RELATIVO AO MÊS DE JANEIRO/2024.</v>
      </c>
      <c r="F114" s="3" t="s">
        <v>172</v>
      </c>
      <c r="G114" s="6" t="str">
        <f>HYPERLINK("http://www8.mpce.mp.br/Empenhos/150501/NE/2024NE000100.pdf","2024NE000100")</f>
        <v>2024NE000100</v>
      </c>
      <c r="H114" s="7">
        <v>2188.0100000000002</v>
      </c>
      <c r="I114" s="8" t="s">
        <v>247</v>
      </c>
      <c r="J114" s="12" t="s">
        <v>248</v>
      </c>
    </row>
    <row r="115" spans="1:10" ht="51" x14ac:dyDescent="0.25">
      <c r="A115" s="2" t="s">
        <v>45</v>
      </c>
      <c r="B115" s="3" t="s">
        <v>192</v>
      </c>
      <c r="C115" s="4" t="str">
        <f>HYPERLINK("https://transparencia-area-fim.mpce.mp.br/#/consulta/processo/pastadigital/092022000343840","09.2022.00034384-0")</f>
        <v>09.2022.00034384-0</v>
      </c>
      <c r="D115" s="5">
        <v>45336</v>
      </c>
      <c r="E115" s="9" t="str">
        <f>HYPERLINK("https://www8.mpce.mp.br/Empenhos/150001/Objeto/11-2023.pdf","LOCAÇÃO DE IMÓVEL ONDE FUNCIONA A PROMOTORIA DE JUSTIÇA DE SANTA QUITÉRIA-CE, REFERENTE AOS MESES DE  JANEIRO A MARÇO DE 2024 CONFORME CONTRATO 011/2023.")</f>
        <v>LOCAÇÃO DE IMÓVEL ONDE FUNCIONA A PROMOTORIA DE JUSTIÇA DE SANTA QUITÉRIA-CE, REFERENTE AOS MESES DE  JANEIRO A MARÇO DE 2024 CONFORME CONTRATO 011/2023.</v>
      </c>
      <c r="F115" s="3" t="s">
        <v>127</v>
      </c>
      <c r="G115" s="6" t="str">
        <f>HYPERLINK("http://www8.mpce.mp.br/Empenhos/150501/NE/2024NE000118.pdf","2024NE000118")</f>
        <v>2024NE000118</v>
      </c>
      <c r="H115" s="7">
        <v>39600</v>
      </c>
      <c r="I115" s="8" t="s">
        <v>249</v>
      </c>
      <c r="J115" s="12" t="s">
        <v>250</v>
      </c>
    </row>
    <row r="116" spans="1:10" ht="51" x14ac:dyDescent="0.25">
      <c r="A116" s="2" t="s">
        <v>45</v>
      </c>
      <c r="B116" s="3" t="s">
        <v>192</v>
      </c>
      <c r="C116" s="4" t="str">
        <f>HYPERLINK("https://transparencia-area-fim.mpce.mp.br/#/consulta/processo/pastadigital/092022000343818","09.2022.00034381-8")</f>
        <v>09.2022.00034381-8</v>
      </c>
      <c r="D116" s="5">
        <v>45336</v>
      </c>
      <c r="E116" s="9" t="str">
        <f>HYPERLINK("https://www8.mpce.mp.br/Empenhos/150001/Objeto/24-2023.pdf","LOCAÇÃO DE IMÓVEL DAS PROMOTORIAS DE JUSTIÇA DE ITAPIPOCA-CE , POR ESTIMATIVA, RELATIVOS AOS MESES DE JANEIRO A MARÇO/2024 E CONFORME CONTRATO 24/2023.")</f>
        <v>LOCAÇÃO DE IMÓVEL DAS PROMOTORIAS DE JUSTIÇA DE ITAPIPOCA-CE , POR ESTIMATIVA, RELATIVOS AOS MESES DE JANEIRO A MARÇO/2024 E CONFORME CONTRATO 24/2023.</v>
      </c>
      <c r="F116" s="3" t="s">
        <v>127</v>
      </c>
      <c r="G116" s="6" t="str">
        <f>HYPERLINK("http://www8.mpce.mp.br/Empenhos/150501/NE/2024NE000119.pdf","2024NE000119")</f>
        <v>2024NE000119</v>
      </c>
      <c r="H116" s="7">
        <v>54000</v>
      </c>
      <c r="I116" s="8" t="s">
        <v>251</v>
      </c>
      <c r="J116" s="12" t="s">
        <v>252</v>
      </c>
    </row>
    <row r="117" spans="1:10" ht="63.75" x14ac:dyDescent="0.25">
      <c r="A117" s="2" t="s">
        <v>45</v>
      </c>
      <c r="B117" s="3" t="s">
        <v>253</v>
      </c>
      <c r="C117" s="4" t="str">
        <f>HYPERLINK("https://transparencia-area-fim.mpce.mp.br/#/consulta/processo/pastadigital/092022000111032","09.2022.00011103-2")</f>
        <v>09.2022.00011103-2</v>
      </c>
      <c r="D117" s="5">
        <v>45338</v>
      </c>
      <c r="E117" s="9" t="str">
        <f>HYPERLINK("https://www8.mpce.mp.br/Empenhos/150001/Objeto/23-2022.pdf","EMPENHO DE PROVIMENTO DE RECURSOS EM NUVEM, SERVIÇOS TÉCNICOS ESPECIALIZADOS E LINK DEDICADO PARA A NUVEM, CONFORME CONTRATO 023/2022 E PROJETO 052/2023, REF. AOS MESES DE JAN, FEV, E MARÇO DE 2024.")</f>
        <v>EMPENHO DE PROVIMENTO DE RECURSOS EM NUVEM, SERVIÇOS TÉCNICOS ESPECIALIZADOS E LINK DEDICADO PARA A NUVEM, CONFORME CONTRATO 023/2022 E PROJETO 052/2023, REF. AOS MESES DE JAN, FEV, E MARÇO DE 2024.</v>
      </c>
      <c r="F117" s="3" t="s">
        <v>254</v>
      </c>
      <c r="G117" s="6" t="str">
        <f>HYPERLINK("http://www8.mpce.mp.br/Empenhos/150501/NE/2024NE000124.pdf","2024NE000124")</f>
        <v>2024NE000124</v>
      </c>
      <c r="H117" s="7">
        <v>135000</v>
      </c>
      <c r="I117" s="8" t="s">
        <v>255</v>
      </c>
      <c r="J117" s="12" t="s">
        <v>256</v>
      </c>
    </row>
    <row r="118" spans="1:10" ht="63.75" x14ac:dyDescent="0.25">
      <c r="A118" s="2" t="s">
        <v>45</v>
      </c>
      <c r="B118" s="3" t="s">
        <v>253</v>
      </c>
      <c r="C118" s="4" t="str">
        <f>HYPERLINK("https://transparencia-area-fim.mpce.mp.br/#/consulta/processo/pastadigital/092022000111032","09.2022.00011103-2")</f>
        <v>09.2022.00011103-2</v>
      </c>
      <c r="D118" s="5">
        <v>45338</v>
      </c>
      <c r="E118" s="9" t="str">
        <f>HYPERLINK("https://www8.mpce.mp.br/Empenhos/150001/Objeto/23-2022.pdf","EMPENHO DE PROVIMENTO DE RECURSOS EM NUVEM, SERVIÇOS TÉCNICOS ESPECIALIZADOS E LINK DEDICADO PARA A NUVEM, CONFORME CONTRATO 023/2022 E PROJETO 052/2023, REF. AOS MESES DE JAN, FEV, E MARÇO DE 2024.")</f>
        <v>EMPENHO DE PROVIMENTO DE RECURSOS EM NUVEM, SERVIÇOS TÉCNICOS ESPECIALIZADOS E LINK DEDICADO PARA A NUVEM, CONFORME CONTRATO 023/2022 E PROJETO 052/2023, REF. AOS MESES DE JAN, FEV, E MARÇO DE 2024.</v>
      </c>
      <c r="F118" s="3" t="s">
        <v>254</v>
      </c>
      <c r="G118" s="6" t="str">
        <f>HYPERLINK("http://www8.mpce.mp.br/Empenhos/150501/NE/2024NE000124.pdf","2024NE000124")</f>
        <v>2024NE000124</v>
      </c>
      <c r="H118" s="7">
        <v>135000</v>
      </c>
      <c r="I118" s="8" t="s">
        <v>255</v>
      </c>
      <c r="J118" s="12" t="s">
        <v>256</v>
      </c>
    </row>
    <row r="119" spans="1:10" ht="63.75" x14ac:dyDescent="0.25">
      <c r="A119" s="2" t="s">
        <v>45</v>
      </c>
      <c r="B119" s="3" t="s">
        <v>253</v>
      </c>
      <c r="C119" s="4" t="str">
        <f>HYPERLINK("https://transparencia-area-fim.mpce.mp.br/#/consulta/processo/pastadigital/092022000111032","09.2022.00011103-2")</f>
        <v>09.2022.00011103-2</v>
      </c>
      <c r="D119" s="5">
        <v>45338</v>
      </c>
      <c r="E119" s="9" t="str">
        <f>HYPERLINK("https://www8.mpce.mp.br/Empenhos/150001/Objeto/23-2022.pdf","EMPENHO DE PROVIMENTO DE RECURSOS EM NUVEM, SERVIÇOS TÉCNICOS ESPECIALIZADOS E LINK DEDICADO PARA A NUVEM, CONFORME CONTRATO 023/2022 E PROJETO 052/2023, REF. AOS MESES DE JAN, FEV, E MARÇO DE 2024.")</f>
        <v>EMPENHO DE PROVIMENTO DE RECURSOS EM NUVEM, SERVIÇOS TÉCNICOS ESPECIALIZADOS E LINK DEDICADO PARA A NUVEM, CONFORME CONTRATO 023/2022 E PROJETO 052/2023, REF. AOS MESES DE JAN, FEV, E MARÇO DE 2024.</v>
      </c>
      <c r="F119" s="3" t="s">
        <v>254</v>
      </c>
      <c r="G119" s="6" t="str">
        <f>HYPERLINK("http://www8.mpce.mp.br/Empenhos/150501/NE/2024NE000124.pdf","2024NE000124")</f>
        <v>2024NE000124</v>
      </c>
      <c r="H119" s="7">
        <v>135000</v>
      </c>
      <c r="I119" s="8" t="s">
        <v>255</v>
      </c>
      <c r="J119" s="12" t="s">
        <v>256</v>
      </c>
    </row>
    <row r="120" spans="1:10" ht="38.25" x14ac:dyDescent="0.25">
      <c r="A120" s="2" t="s">
        <v>20</v>
      </c>
      <c r="B120" s="3" t="s">
        <v>21</v>
      </c>
      <c r="C120" s="4" t="str">
        <f>HYPERLINK("https://transparencia-area-fim.mpce.mp.br/#/consulta/processo/pastadigital/092023000368013","09.2023.00036801-3")</f>
        <v>09.2023.00036801-3</v>
      </c>
      <c r="D120" s="5">
        <v>45338</v>
      </c>
      <c r="E120" s="9" t="str">
        <f>HYPERLINK("https://www8.mpce.mp.br/Empenhos/150001/Objeto/62-2023.pdf","FORNECIMENTO DE SOLUÇÕES AVANÇADAS CONFORME CONTRATO 062/2023, POR INEXIGIBILIDADE DE LICITAÇÃO E CONFORME PROJETO 064/2023.")</f>
        <v>FORNECIMENTO DE SOLUÇÕES AVANÇADAS CONFORME CONTRATO 062/2023, POR INEXIGIBILIDADE DE LICITAÇÃO E CONFORME PROJETO 064/2023.</v>
      </c>
      <c r="F120" s="3" t="s">
        <v>257</v>
      </c>
      <c r="G120" s="6" t="str">
        <f>HYPERLINK("http://www8.mpce.mp.br/Empenhos/150501/NE/2024NE000125.pdf","2024NE000125")</f>
        <v>2024NE000125</v>
      </c>
      <c r="H120" s="7">
        <v>1179298.5</v>
      </c>
      <c r="I120" s="8" t="s">
        <v>258</v>
      </c>
      <c r="J120" s="12" t="s">
        <v>259</v>
      </c>
    </row>
    <row r="121" spans="1:10" ht="38.25" x14ac:dyDescent="0.25">
      <c r="A121" s="2" t="s">
        <v>20</v>
      </c>
      <c r="B121" s="3" t="s">
        <v>21</v>
      </c>
      <c r="C121" s="4" t="str">
        <f>HYPERLINK("https://transparencia-area-fim.mpce.mp.br/#/consulta/processo/pastadigital/092023000368013","09.2023.00036801-3")</f>
        <v>09.2023.00036801-3</v>
      </c>
      <c r="D121" s="5">
        <v>45338</v>
      </c>
      <c r="E121" s="9" t="str">
        <f>HYPERLINK("https://www8.mpce.mp.br/Empenhos/150001/Objeto/62-2023.pdf","FORNECIMENTO DE SOLUÇÕES AVANÇADAS CONFORME CONTRATO 062/2023, POR INEXIGIBILIDADE DE LICITAÇÃO E CONFORME PROJETO 064/2023.")</f>
        <v>FORNECIMENTO DE SOLUÇÕES AVANÇADAS CONFORME CONTRATO 062/2023, POR INEXIGIBILIDADE DE LICITAÇÃO E CONFORME PROJETO 064/2023.</v>
      </c>
      <c r="F121" s="3" t="s">
        <v>257</v>
      </c>
      <c r="G121" s="6" t="str">
        <f>HYPERLINK("http://www8.mpce.mp.br/Empenhos/150501/NE/2024NE000125.pdf","2024NE000125")</f>
        <v>2024NE000125</v>
      </c>
      <c r="H121" s="7">
        <v>1179298.5</v>
      </c>
      <c r="I121" s="8" t="s">
        <v>258</v>
      </c>
      <c r="J121" s="12" t="s">
        <v>259</v>
      </c>
    </row>
    <row r="122" spans="1:10" ht="38.25" x14ac:dyDescent="0.25">
      <c r="A122" s="2" t="s">
        <v>20</v>
      </c>
      <c r="B122" s="3" t="s">
        <v>21</v>
      </c>
      <c r="C122" s="4" t="str">
        <f>HYPERLINK("https://transparencia-area-fim.mpce.mp.br/#/consulta/processo/pastadigital/092023000368013","09.2023.00036801-3")</f>
        <v>09.2023.00036801-3</v>
      </c>
      <c r="D122" s="5">
        <v>45338</v>
      </c>
      <c r="E122" s="9" t="str">
        <f>HYPERLINK("https://www8.mpce.mp.br/Empenhos/150001/Objeto/62-2023.pdf","FORNECIMENTO DE SOLUÇÕES AVANÇADAS CONFORME CONTRATO 062/2023, POR INEXIGIBILIDADE DE LICITAÇÃO E CONFORME PROJETO 064/2023.")</f>
        <v>FORNECIMENTO DE SOLUÇÕES AVANÇADAS CONFORME CONTRATO 062/2023, POR INEXIGIBILIDADE DE LICITAÇÃO E CONFORME PROJETO 064/2023.</v>
      </c>
      <c r="F122" s="3" t="s">
        <v>257</v>
      </c>
      <c r="G122" s="6" t="str">
        <f>HYPERLINK("http://www8.mpce.mp.br/Empenhos/150501/NE/2024NE000125.pdf","2024NE000125")</f>
        <v>2024NE000125</v>
      </c>
      <c r="H122" s="7">
        <v>1179298.5</v>
      </c>
      <c r="I122" s="8" t="s">
        <v>258</v>
      </c>
      <c r="J122" s="12" t="s">
        <v>259</v>
      </c>
    </row>
    <row r="123" spans="1:10" ht="102" x14ac:dyDescent="0.25">
      <c r="A123" s="2" t="s">
        <v>45</v>
      </c>
      <c r="B123" s="3" t="s">
        <v>260</v>
      </c>
      <c r="C123" s="4" t="str">
        <f>HYPERLINK("https://transparencia-area-fim.mpce.mp.br/#/consulta/processo/pastadigital/092023000117363","09.2023.00011736-3")</f>
        <v>09.2023.00011736-3</v>
      </c>
      <c r="D123" s="5">
        <v>45338</v>
      </c>
      <c r="E123" s="9" t="s">
        <v>261</v>
      </c>
      <c r="F123" s="3" t="s">
        <v>262</v>
      </c>
      <c r="G123" s="6" t="str">
        <f>HYPERLINK("http://www8.mpce.mp.br/Empenhos/150501/NE/2024NE000126.pdf","2024NE000126")</f>
        <v>2024NE000126</v>
      </c>
      <c r="H123" s="7">
        <v>18649.259999999998</v>
      </c>
      <c r="I123" s="8" t="s">
        <v>255</v>
      </c>
      <c r="J123" s="12" t="s">
        <v>256</v>
      </c>
    </row>
    <row r="124" spans="1:10" ht="51" x14ac:dyDescent="0.25">
      <c r="A124" s="2" t="s">
        <v>45</v>
      </c>
      <c r="B124" s="3" t="s">
        <v>263</v>
      </c>
      <c r="C124" s="4" t="str">
        <f>HYPERLINK("http://www8.mpce.mp.br/Dispensa/48729162.pdf","48729/16-2")</f>
        <v>48729/16-2</v>
      </c>
      <c r="D124" s="5">
        <v>45338</v>
      </c>
      <c r="E124" s="9" t="str">
        <f>HYPERLINK("https://www8.mpce.mp.br/Empenhos/150001/Objeto/06-2017.pdf","EMPENHO DE TAVA DE LIXO, 1ª E 2ª PARCELAS, REF. AO IMÓVEL ONDE FUNCIONAM AS PROMOTORIAS DE JUSTIÇA CÍVEIS, LOCALIZADO À RUA LOURENÇO FEITOSA, 16, BAIRRO JOSÉ BONIFÁCIO, CONF. CONTRATO 006/2017/PGJ.")</f>
        <v>EMPENHO DE TAVA DE LIXO, 1ª E 2ª PARCELAS, REF. AO IMÓVEL ONDE FUNCIONAM AS PROMOTORIAS DE JUSTIÇA CÍVEIS, LOCALIZADO À RUA LOURENÇO FEITOSA, 16, BAIRRO JOSÉ BONIFÁCIO, CONF. CONTRATO 006/2017/PGJ.</v>
      </c>
      <c r="F124" s="3" t="s">
        <v>264</v>
      </c>
      <c r="G124" s="6" t="str">
        <f>HYPERLINK("http://www8.mpce.mp.br/Empenhos/150501/NE/2024NE000127.pdf","2024NE000127")</f>
        <v>2024NE000127</v>
      </c>
      <c r="H124" s="7">
        <v>589.08000000000004</v>
      </c>
      <c r="I124" s="8" t="s">
        <v>137</v>
      </c>
      <c r="J124" s="12" t="s">
        <v>138</v>
      </c>
    </row>
    <row r="125" spans="1:10" ht="51" x14ac:dyDescent="0.25">
      <c r="A125" s="2" t="s">
        <v>45</v>
      </c>
      <c r="B125" s="3" t="s">
        <v>263</v>
      </c>
      <c r="C125" s="4" t="str">
        <f>HYPERLINK("http://www8.mpce.mp.br/Dispensa/48729162.pdf","48729/16-2")</f>
        <v>48729/16-2</v>
      </c>
      <c r="D125" s="5">
        <v>45338</v>
      </c>
      <c r="E125" s="9" t="str">
        <f>HYPERLINK("https://www8.mpce.mp.br/Empenhos/150001/Objeto/06-2017.pdf","EMPENHO DE IPTU/2024, 1ª E 2ª PARCELAS, REF. AO IMÓVEL ONDE FUNCIONAL  AS PROMOTORIAS DE JUSTIÇA CÍVEIS, LOCALIZADA À RUA LOURENÇO FEITOSA, 16, BAIRRO JOSÉ BONIFÁCIO, CONF. CONTRATO Nº 006/2017/PGJ.")</f>
        <v>EMPENHO DE IPTU/2024, 1ª E 2ª PARCELAS, REF. AO IMÓVEL ONDE FUNCIONAL  AS PROMOTORIAS DE JUSTIÇA CÍVEIS, LOCALIZADA À RUA LOURENÇO FEITOSA, 16, BAIRRO JOSÉ BONIFÁCIO, CONF. CONTRATO Nº 006/2017/PGJ.</v>
      </c>
      <c r="F125" s="3" t="s">
        <v>264</v>
      </c>
      <c r="G125" s="6" t="str">
        <f>HYPERLINK("http://www8.mpce.mp.br/Empenhos/150501/NE/2024NE000129.pdf","2024NE000129")</f>
        <v>2024NE000129</v>
      </c>
      <c r="H125" s="7">
        <v>6852.62</v>
      </c>
      <c r="I125" s="8" t="s">
        <v>137</v>
      </c>
      <c r="J125" s="12" t="s">
        <v>138</v>
      </c>
    </row>
    <row r="126" spans="1:10" ht="89.25" x14ac:dyDescent="0.25">
      <c r="A126" s="2" t="s">
        <v>20</v>
      </c>
      <c r="B126" s="3" t="s">
        <v>21</v>
      </c>
      <c r="C126" s="4" t="str">
        <f>HYPERLINK("http://www8.mpce.mp.br/Inexigibilidade/1045920194.pdf","10459/2019-4")</f>
        <v>10459/2019-4</v>
      </c>
      <c r="D126" s="5">
        <v>45341</v>
      </c>
      <c r="E126" s="9" t="s">
        <v>265</v>
      </c>
      <c r="F126" s="3" t="s">
        <v>266</v>
      </c>
      <c r="G126" s="6" t="str">
        <f>HYPERLINK("http://www8.mpce.mp.br/Empenhos/150501/NE/2024NE000132.pdf","2024NE000132")</f>
        <v>2024NE000132</v>
      </c>
      <c r="H126" s="7">
        <v>51948.800000000003</v>
      </c>
      <c r="I126" s="8" t="s">
        <v>267</v>
      </c>
      <c r="J126" s="12" t="s">
        <v>268</v>
      </c>
    </row>
    <row r="127" spans="1:10" ht="102" x14ac:dyDescent="0.25">
      <c r="A127" s="2" t="s">
        <v>45</v>
      </c>
      <c r="B127" s="3" t="s">
        <v>269</v>
      </c>
      <c r="C127" s="4" t="str">
        <f>HYPERLINK("https://transparencia-area-fim.mpce.mp.br/#/consulta/processo/pastadigital/092021000349974","09.2021.00034997-4")</f>
        <v>09.2021.00034997-4</v>
      </c>
      <c r="D127" s="5">
        <v>45341</v>
      </c>
      <c r="E127" s="9" t="s">
        <v>270</v>
      </c>
      <c r="F127" s="3" t="s">
        <v>120</v>
      </c>
      <c r="G127" s="6" t="str">
        <f>HYPERLINK("http://www8.mpce.mp.br/Empenhos/150501/NE/2024NE000134.pdf","2024NE000134")</f>
        <v>2024NE000134</v>
      </c>
      <c r="H127" s="7">
        <v>151416</v>
      </c>
      <c r="I127" s="8" t="s">
        <v>255</v>
      </c>
      <c r="J127" s="12" t="s">
        <v>256</v>
      </c>
    </row>
    <row r="128" spans="1:10" ht="102" x14ac:dyDescent="0.25">
      <c r="A128" s="2" t="s">
        <v>45</v>
      </c>
      <c r="B128" s="3" t="s">
        <v>269</v>
      </c>
      <c r="C128" s="4" t="str">
        <f>HYPERLINK("https://transparencia-area-fim.mpce.mp.br/#/consulta/processo/pastadigital/092021000349974","09.2021.00034997-4")</f>
        <v>09.2021.00034997-4</v>
      </c>
      <c r="D128" s="5">
        <v>45341</v>
      </c>
      <c r="E128" s="9" t="s">
        <v>270</v>
      </c>
      <c r="F128" s="3" t="s">
        <v>120</v>
      </c>
      <c r="G128" s="6" t="str">
        <f>HYPERLINK("http://www8.mpce.mp.br/Empenhos/150501/NE/2024NE000134.pdf","2024NE000134")</f>
        <v>2024NE000134</v>
      </c>
      <c r="H128" s="7">
        <v>151416</v>
      </c>
      <c r="I128" s="8" t="s">
        <v>255</v>
      </c>
      <c r="J128" s="12" t="s">
        <v>256</v>
      </c>
    </row>
    <row r="129" spans="1:10" ht="102" x14ac:dyDescent="0.25">
      <c r="A129" s="2" t="s">
        <v>45</v>
      </c>
      <c r="B129" s="3" t="s">
        <v>269</v>
      </c>
      <c r="C129" s="4" t="str">
        <f>HYPERLINK("https://transparencia-area-fim.mpce.mp.br/#/consulta/processo/pastadigital/092021000349974","09.2021.00034997-4")</f>
        <v>09.2021.00034997-4</v>
      </c>
      <c r="D129" s="5">
        <v>45341</v>
      </c>
      <c r="E129" s="9" t="s">
        <v>270</v>
      </c>
      <c r="F129" s="3" t="s">
        <v>120</v>
      </c>
      <c r="G129" s="6" t="str">
        <f>HYPERLINK("http://www8.mpce.mp.br/Empenhos/150501/NE/2024NE000134.pdf","2024NE000134")</f>
        <v>2024NE000134</v>
      </c>
      <c r="H129" s="7">
        <v>151416</v>
      </c>
      <c r="I129" s="8" t="s">
        <v>255</v>
      </c>
      <c r="J129" s="12" t="s">
        <v>256</v>
      </c>
    </row>
    <row r="130" spans="1:10" ht="102" x14ac:dyDescent="0.25">
      <c r="A130" s="2" t="s">
        <v>45</v>
      </c>
      <c r="B130" s="3" t="s">
        <v>269</v>
      </c>
      <c r="C130" s="4" t="str">
        <f>HYPERLINK("https://transparencia-area-fim.mpce.mp.br/#/consulta/processo/pastadigital/092021000349974","09.2021.00034997-4")</f>
        <v>09.2021.00034997-4</v>
      </c>
      <c r="D130" s="5">
        <v>45341</v>
      </c>
      <c r="E130" s="9" t="s">
        <v>270</v>
      </c>
      <c r="F130" s="3" t="s">
        <v>120</v>
      </c>
      <c r="G130" s="6" t="str">
        <f>HYPERLINK("http://www8.mpce.mp.br/Empenhos/150501/NE/2024NE000134.pdf","2024NE000134")</f>
        <v>2024NE000134</v>
      </c>
      <c r="H130" s="7">
        <v>151416</v>
      </c>
      <c r="I130" s="8" t="s">
        <v>255</v>
      </c>
      <c r="J130" s="12" t="s">
        <v>256</v>
      </c>
    </row>
    <row r="131" spans="1:10" ht="51" x14ac:dyDescent="0.25">
      <c r="A131" s="2" t="s">
        <v>45</v>
      </c>
      <c r="B131" s="3" t="s">
        <v>271</v>
      </c>
      <c r="C131" s="4" t="str">
        <f>HYPERLINK("https://transparencia-area-fim.mpce.mp.br/#/consulta/processo/pastadigital/092020000096883","09.2020.00009688-3")</f>
        <v>09.2020.00009688-3</v>
      </c>
      <c r="D131" s="5">
        <v>45341</v>
      </c>
      <c r="E131" s="9" t="str">
        <f>HYPERLINK("https://www8.mpce.mp.br/Empenhos/150001/Objeto/28-2020.pdf","SERVIÇOS DE SUPORTE E FORNECIMENTO DOS SERVIÇOS COMPUTACIONAIS DA PLATAFORMA GOOGLE MAPS - CONTRATO 028/2020 - POR ESTIMATIVA, COMPETÊNCIA JAN, FEV E MAR/2024.")</f>
        <v>SERVIÇOS DE SUPORTE E FORNECIMENTO DOS SERVIÇOS COMPUTACIONAIS DA PLATAFORMA GOOGLE MAPS - CONTRATO 028/2020 - POR ESTIMATIVA, COMPETÊNCIA JAN, FEV E MAR/2024.</v>
      </c>
      <c r="F131" s="3" t="s">
        <v>254</v>
      </c>
      <c r="G131" s="6" t="str">
        <f>HYPERLINK("http://www8.mpce.mp.br/Empenhos/150501/NE/2024NE000137.pdf","2024NE000137")</f>
        <v>2024NE000137</v>
      </c>
      <c r="H131" s="7">
        <v>900</v>
      </c>
      <c r="I131" s="8" t="s">
        <v>272</v>
      </c>
      <c r="J131" s="12" t="s">
        <v>273</v>
      </c>
    </row>
    <row r="132" spans="1:10" ht="38.25" x14ac:dyDescent="0.25">
      <c r="A132" s="2" t="s">
        <v>45</v>
      </c>
      <c r="B132" s="3" t="s">
        <v>274</v>
      </c>
      <c r="C132" s="4" t="str">
        <f>HYPERLINK("http://www8.mpce.mp.br/Dispensa/3072520194.pdf","30725/2019-4")</f>
        <v>30725/2019-4</v>
      </c>
      <c r="D132" s="5">
        <v>45342</v>
      </c>
      <c r="E132" s="9" t="str">
        <f>HYPERLINK("https://www8.mpce.mp.br/Empenhos/150001/Objeto/06-2020.pdf","EMPENHO DE LINK DE DADOS, SERVIÇOS DE NUVEM E HORAS IMPRODUTIVAS, REF. AOS MESES JAN, FEV E MARÇO DE 2024, CONF. CONTRATO 006/2020.")</f>
        <v>EMPENHO DE LINK DE DADOS, SERVIÇOS DE NUVEM E HORAS IMPRODUTIVAS, REF. AOS MESES JAN, FEV E MARÇO DE 2024, CONF. CONTRATO 006/2020.</v>
      </c>
      <c r="F132" s="3" t="s">
        <v>254</v>
      </c>
      <c r="G132" s="6" t="str">
        <f>HYPERLINK("http://www8.mpce.mp.br/Empenhos/150501/NE/2024NE000138.pdf","2024NE000138")</f>
        <v>2024NE000138</v>
      </c>
      <c r="H132" s="7">
        <v>67691.039999999994</v>
      </c>
      <c r="I132" s="8" t="s">
        <v>255</v>
      </c>
      <c r="J132" s="12" t="s">
        <v>256</v>
      </c>
    </row>
    <row r="133" spans="1:10" ht="38.25" x14ac:dyDescent="0.25">
      <c r="A133" s="2" t="s">
        <v>45</v>
      </c>
      <c r="B133" s="3" t="s">
        <v>275</v>
      </c>
      <c r="C133" s="4" t="str">
        <f>HYPERLINK("https://transparencia-area-fim.mpce.mp.br/#/consulta/processo/pastadigital/092021000047808","09.2021.00004780-8")</f>
        <v>09.2021.00004780-8</v>
      </c>
      <c r="D133" s="5">
        <v>45341</v>
      </c>
      <c r="E133" s="9" t="str">
        <f>HYPERLINK("https://www8.mpce.mp.br/Empenhos/150001/Objeto/25-2021.pdf","LOCAÇÃO DE IMÓVEIS ONDE FUNCIONAM AS PROMOTORIAS DE JUSTIÇA DE ALTO SANTO, CONTRATO 025/2021/PGJ, POR ESTIMATIVA, REFERENTE AO MES DE FEV E MAR/2024.")</f>
        <v>LOCAÇÃO DE IMÓVEIS ONDE FUNCIONAM AS PROMOTORIAS DE JUSTIÇA DE ALTO SANTO, CONTRATO 025/2021/PGJ, POR ESTIMATIVA, REFERENTE AO MES DE FEV E MAR/2024.</v>
      </c>
      <c r="F133" s="3" t="s">
        <v>172</v>
      </c>
      <c r="G133" s="6" t="str">
        <f>HYPERLINK("http://www8.mpce.mp.br/Empenhos/150501/NE/2024NE000139.pdf","2024NE000139")</f>
        <v>2024NE000139</v>
      </c>
      <c r="H133" s="7">
        <v>3302.3</v>
      </c>
      <c r="I133" s="8" t="s">
        <v>218</v>
      </c>
      <c r="J133" s="12" t="s">
        <v>219</v>
      </c>
    </row>
    <row r="134" spans="1:10" ht="51" x14ac:dyDescent="0.25">
      <c r="A134" s="2" t="s">
        <v>45</v>
      </c>
      <c r="B134" s="3" t="s">
        <v>276</v>
      </c>
      <c r="C134" s="4" t="str">
        <f>HYPERLINK("http://www8.mpce.mp.br/Dispensa/862520178.pdf","8625/20178")</f>
        <v>8625/20178</v>
      </c>
      <c r="D134" s="5">
        <v>45343</v>
      </c>
      <c r="E134" s="9" t="str">
        <f>HYPERLINK("https://www8.mpce.mp.br/Empenhos/150001/Objeto/31-2017.pdf","EMPENHO DE LOCAÇÃO DE IMÓVEIS ONDE FUNCIONAM AS PROMOTORIAS DE JUSTIÇA DE CANINDÉ, CONTRATO 031/2017/PGJ REFERENTE AOS MESES DE FEV. E MARÇO DE 2024.")</f>
        <v>EMPENHO DE LOCAÇÃO DE IMÓVEIS ONDE FUNCIONAM AS PROMOTORIAS DE JUSTIÇA DE CANINDÉ, CONTRATO 031/2017/PGJ REFERENTE AOS MESES DE FEV. E MARÇO DE 2024.</v>
      </c>
      <c r="F134" s="3" t="s">
        <v>172</v>
      </c>
      <c r="G134" s="6" t="str">
        <f>HYPERLINK("http://www8.mpce.mp.br/Empenhos/150501/NE/2024NE000140.pdf","2024NE000140")</f>
        <v>2024NE000140</v>
      </c>
      <c r="H134" s="7">
        <v>2160.44</v>
      </c>
      <c r="I134" s="8" t="s">
        <v>210</v>
      </c>
      <c r="J134" s="12" t="s">
        <v>211</v>
      </c>
    </row>
    <row r="135" spans="1:10" ht="51" x14ac:dyDescent="0.25">
      <c r="A135" s="2" t="s">
        <v>20</v>
      </c>
      <c r="B135" s="3" t="s">
        <v>277</v>
      </c>
      <c r="C135" s="4" t="str">
        <f>HYPERLINK("https://transparencia-area-fim.mpce.mp.br/#/consulta/processo/pastadigital/092021000189150","09.2021.00018915-0")</f>
        <v>09.2021.00018915-0</v>
      </c>
      <c r="D135" s="5">
        <v>45342</v>
      </c>
      <c r="E135" s="9" t="str">
        <f>HYPERLINK("https://www8.mpce.mp.br/Empenhos/150001/Objeto/09-2022.pdf","SERVIÇO DE EXTENSÃO DE GARANTIA DO DATA CENTER, CONFORME CONTRATO Nº 09/2022 E PROJETO Nº 52/2023/FRMMP, REFERENTE JAN. FEV E MAR/2024 - POR ESTIMATIVA.")</f>
        <v>SERVIÇO DE EXTENSÃO DE GARANTIA DO DATA CENTER, CONFORME CONTRATO Nº 09/2022 E PROJETO Nº 52/2023/FRMMP, REFERENTE JAN. FEV E MAR/2024 - POR ESTIMATIVA.</v>
      </c>
      <c r="F135" s="3" t="s">
        <v>278</v>
      </c>
      <c r="G135" s="6" t="str">
        <f>HYPERLINK("http://www8.mpce.mp.br/Empenhos/150501/NE/2024NE000142.pdf","2024NE000142")</f>
        <v>2024NE000142</v>
      </c>
      <c r="H135" s="7">
        <v>63000</v>
      </c>
      <c r="I135" s="8" t="s">
        <v>279</v>
      </c>
      <c r="J135" s="12" t="s">
        <v>280</v>
      </c>
    </row>
    <row r="136" spans="1:10" ht="38.25" x14ac:dyDescent="0.25">
      <c r="A136" s="2" t="s">
        <v>45</v>
      </c>
      <c r="B136" s="3" t="s">
        <v>281</v>
      </c>
      <c r="C136" s="4" t="str">
        <f>HYPERLINK("http://www8.mpce.mp.br/Dispensa/48729162.pdf","48729/16-2")</f>
        <v>48729/16-2</v>
      </c>
      <c r="D136" s="5">
        <v>45342</v>
      </c>
      <c r="E136" s="9" t="str">
        <f>HYPERLINK("https://www8.mpce.mp.br/Empenhos/150001/Objeto/06-2017.pdf","LOCAÇÃO DE IMÓVEL CONFORME CONTRATO 06/2017 DAS PROMOTORIAS DE JUSTIÇA CÍVEIS RELATIVO AO MES DE FEVEREIRO E MARÇO DE 2024, POR ESTIMATIVA.")</f>
        <v>LOCAÇÃO DE IMÓVEL CONFORME CONTRATO 06/2017 DAS PROMOTORIAS DE JUSTIÇA CÍVEIS RELATIVO AO MES DE FEVEREIRO E MARÇO DE 2024, POR ESTIMATIVA.</v>
      </c>
      <c r="F136" s="3" t="s">
        <v>127</v>
      </c>
      <c r="G136" s="6" t="str">
        <f>HYPERLINK("http://www8.mpce.mp.br/Empenhos/150501/NE/2024NE000144.pdf","2024NE000144")</f>
        <v>2024NE000144</v>
      </c>
      <c r="H136" s="7">
        <v>229493.82</v>
      </c>
      <c r="I136" s="8" t="s">
        <v>137</v>
      </c>
      <c r="J136" s="12" t="s">
        <v>138</v>
      </c>
    </row>
    <row r="137" spans="1:10" ht="114.75" x14ac:dyDescent="0.25">
      <c r="A137" s="2" t="s">
        <v>45</v>
      </c>
      <c r="B137" s="3" t="s">
        <v>282</v>
      </c>
      <c r="C137" s="4" t="str">
        <f>HYPERLINK("http://www8.mpce.mp.br/Dispensa/3657120162.pdf","3657120162")</f>
        <v>3657120162</v>
      </c>
      <c r="D137" s="5">
        <v>45342</v>
      </c>
      <c r="E137" s="9" t="s">
        <v>283</v>
      </c>
      <c r="F137" s="3" t="s">
        <v>172</v>
      </c>
      <c r="G137" s="6" t="str">
        <f>HYPERLINK("http://www8.mpce.mp.br/Empenhos/150501/NE/2024NE000145.pdf","2024NE000145")</f>
        <v>2024NE000145</v>
      </c>
      <c r="H137" s="7">
        <v>4044.06</v>
      </c>
      <c r="I137" s="8" t="s">
        <v>224</v>
      </c>
      <c r="J137" s="12" t="s">
        <v>225</v>
      </c>
    </row>
    <row r="138" spans="1:10" ht="51" x14ac:dyDescent="0.25">
      <c r="A138" s="2" t="s">
        <v>45</v>
      </c>
      <c r="B138" s="3" t="s">
        <v>284</v>
      </c>
      <c r="C138" s="4" t="str">
        <f>HYPERLINK("https://transparencia-area-fim.mpce.mp.br/#/consulta/processo/pastadigital/092022000197876","09.2022.00019787-6")</f>
        <v>09.2022.00019787-6</v>
      </c>
      <c r="D138" s="5">
        <v>45342</v>
      </c>
      <c r="E138" s="9" t="str">
        <f>HYPERLINK("https://www8.mpce.mp.br/Empenhos/150001/Objeto/02-2023.pdf","LOCAÇÃO DE IMÓVEL CONFORME CONTRATO 02/2023 DOS NÚCLEOS DE MEDIAÇÃO COMUNITÁRIA (AV OSCAR ARARIPE 1030 - BOM JARDIM) REFERENTE AO MES DE FEVEREIRO E MARÇO DE 2024, POR ESTIMATIVA.")</f>
        <v>LOCAÇÃO DE IMÓVEL CONFORME CONTRATO 02/2023 DOS NÚCLEOS DE MEDIAÇÃO COMUNITÁRIA (AV OSCAR ARARIPE 1030 - BOM JARDIM) REFERENTE AO MES DE FEVEREIRO E MARÇO DE 2024, POR ESTIMATIVA.</v>
      </c>
      <c r="F138" s="3" t="s">
        <v>127</v>
      </c>
      <c r="G138" s="6" t="str">
        <f>HYPERLINK("http://www8.mpce.mp.br/Empenhos/150501/NE/2024NE000146.pdf","2024NE000146")</f>
        <v>2024NE000146</v>
      </c>
      <c r="H138" s="7">
        <v>11200</v>
      </c>
      <c r="I138" s="8" t="s">
        <v>134</v>
      </c>
      <c r="J138" s="12" t="s">
        <v>135</v>
      </c>
    </row>
    <row r="139" spans="1:10" ht="63.75" x14ac:dyDescent="0.25">
      <c r="A139" s="2" t="s">
        <v>45</v>
      </c>
      <c r="B139" s="3" t="s">
        <v>285</v>
      </c>
      <c r="C139" s="4" t="str">
        <f>HYPERLINK("http://www8.mpce.mp.br/Dispensa/3103320192.pdf","31033/2019-2")</f>
        <v>31033/2019-2</v>
      </c>
      <c r="D139" s="5">
        <v>45342</v>
      </c>
      <c r="E139" s="9" t="str">
        <f>HYPERLINK("https://www8.mpce.mp.br/Empenhos/150001/Objeto/04-2020.pdf","EMPENHO DOS ALUGUÉIS DOS MESES DE FEVEREIRO E  MARÇO DE 2024, REF. AOS IMÓVEL ONDE FUNCIONAM AS PROMOTORIAS DE JUSTIÇA DE BATURITÉ, LOCALIZADO À RUA VEREADOR FRANCISCO FRANCELINO, Nº 1425, BATURITÉ-CE, CONF. CONTRATO Nº 004/2020/PGJ.")</f>
        <v>EMPENHO DOS ALUGUÉIS DOS MESES DE FEVEREIRO E  MARÇO DE 2024, REF. AOS IMÓVEL ONDE FUNCIONAM AS PROMOTORIAS DE JUSTIÇA DE BATURITÉ, LOCALIZADO À RUA VEREADOR FRANCISCO FRANCELINO, Nº 1425, BATURITÉ-CE, CONF. CONTRATO Nº 004/2020/PGJ.</v>
      </c>
      <c r="F139" s="3" t="s">
        <v>172</v>
      </c>
      <c r="G139" s="6" t="str">
        <f>HYPERLINK("http://www8.mpce.mp.br/Empenhos/150501/NE/2024NE000147.pdf","2024NE000147")</f>
        <v>2024NE000147</v>
      </c>
      <c r="H139" s="7">
        <v>4000</v>
      </c>
      <c r="I139" s="8" t="s">
        <v>232</v>
      </c>
      <c r="J139" s="12" t="s">
        <v>233</v>
      </c>
    </row>
    <row r="140" spans="1:10" ht="38.25" x14ac:dyDescent="0.25">
      <c r="A140" s="2" t="s">
        <v>45</v>
      </c>
      <c r="B140" s="3" t="s">
        <v>284</v>
      </c>
      <c r="C140" s="4" t="str">
        <f>HYPERLINK("https://transparencia-area-fim.mpce.mp.br/#/consulta/processo/pastadigital/092022000343829","09.2022.00034382-9")</f>
        <v>09.2022.00034382-9</v>
      </c>
      <c r="D140" s="5">
        <v>45342</v>
      </c>
      <c r="E140" s="9" t="str">
        <f>HYPERLINK("https://www8.mpce.mp.br/Empenhos/150001/Objeto/10-2023.pdf","LOCAÇÃO DE IMÓVEL CONFORME CONTRATO 10/2023 DAS PROMOTORIAS DE ITAPAJÉ REFERENTE AO MES DE FEVEREIRO E MARÇO DE 2024, POR ESTIMATIVA.")</f>
        <v>LOCAÇÃO DE IMÓVEL CONFORME CONTRATO 10/2023 DAS PROMOTORIAS DE ITAPAJÉ REFERENTE AO MES DE FEVEREIRO E MARÇO DE 2024, POR ESTIMATIVA.</v>
      </c>
      <c r="F140" s="3" t="s">
        <v>127</v>
      </c>
      <c r="G140" s="6" t="str">
        <f>HYPERLINK("http://www8.mpce.mp.br/Empenhos/150501/NE/2024NE000149.pdf","2024NE000149")</f>
        <v>2024NE000149</v>
      </c>
      <c r="H140" s="7">
        <v>27224</v>
      </c>
      <c r="I140" s="8" t="s">
        <v>140</v>
      </c>
      <c r="J140" s="12" t="s">
        <v>141</v>
      </c>
    </row>
    <row r="141" spans="1:10" ht="51" x14ac:dyDescent="0.25">
      <c r="A141" s="2" t="s">
        <v>45</v>
      </c>
      <c r="B141" s="3" t="s">
        <v>286</v>
      </c>
      <c r="C141" s="4" t="str">
        <f>HYPERLINK("https://transparencia-area-fim.mpce.mp.br/#/consulta/processo/pastadigital/092021000244449","09.2021.00024444-9")</f>
        <v>09.2021.00024444-9</v>
      </c>
      <c r="D141" s="5">
        <v>45342</v>
      </c>
      <c r="E141" s="9" t="str">
        <f>HYPERLINK("https://www8.mpce.mp.br/Empenhos/150001/Objeto/12-2022.pdf","EMPENHO DE LOCAÇÃO DE IMÓVEIS ONDE FUNCIONAM AS PROMOTORIAS DE JUSTIÇA DE RUSSAS, CONTRATO 012/2022/PGJ, REFERENTE AOS MESES DE FEV E MARÇO DE 2024.")</f>
        <v>EMPENHO DE LOCAÇÃO DE IMÓVEIS ONDE FUNCIONAM AS PROMOTORIAS DE JUSTIÇA DE RUSSAS, CONTRATO 012/2022/PGJ, REFERENTE AOS MESES DE FEV E MARÇO DE 2024.</v>
      </c>
      <c r="F141" s="3" t="s">
        <v>127</v>
      </c>
      <c r="G141" s="6" t="str">
        <f>HYPERLINK("http://www8.mpce.mp.br/Empenhos/150501/NE/2024NE000150.pdf","2024NE000150")</f>
        <v>2024NE000150</v>
      </c>
      <c r="H141" s="7">
        <v>41800</v>
      </c>
      <c r="I141" s="8" t="s">
        <v>140</v>
      </c>
      <c r="J141" s="12" t="s">
        <v>141</v>
      </c>
    </row>
    <row r="142" spans="1:10" ht="51" x14ac:dyDescent="0.25">
      <c r="A142" s="2" t="s">
        <v>45</v>
      </c>
      <c r="B142" s="3" t="s">
        <v>287</v>
      </c>
      <c r="C142" s="4" t="str">
        <f>HYPERLINK("https://transparencia-area-fim.mpce.mp.br/#/consulta/processo/pastadigital/092021000064195","09.2021.00006419-5")</f>
        <v>09.2021.00006419-5</v>
      </c>
      <c r="D142" s="5">
        <v>45342</v>
      </c>
      <c r="E142" s="9" t="str">
        <f>HYPERLINK("https://www8.mpce.mp.br/Empenhos/150001/Objeto/41-2021.pdf","EMPENHO DE LOCAÇÃO DE IMÓVEIS ONDE FUNCIONAM AS PROMOTORIAS DE JUSTIÇA DE QUIXADÁ, CONTRATO 041/2021/PGJ REFERENTE AO MES DE FEV E MARÇO DE 2024.")</f>
        <v>EMPENHO DE LOCAÇÃO DE IMÓVEIS ONDE FUNCIONAM AS PROMOTORIAS DE JUSTIÇA DE QUIXADÁ, CONTRATO 041/2021/PGJ REFERENTE AO MES DE FEV E MARÇO DE 2024.</v>
      </c>
      <c r="F142" s="3" t="s">
        <v>127</v>
      </c>
      <c r="G142" s="6" t="str">
        <f>HYPERLINK("http://www8.mpce.mp.br/Empenhos/150501/NE/2024NE000151.pdf","2024NE000151")</f>
        <v>2024NE000151</v>
      </c>
      <c r="H142" s="7">
        <v>37800</v>
      </c>
      <c r="I142" s="8" t="s">
        <v>140</v>
      </c>
      <c r="J142" s="12" t="s">
        <v>141</v>
      </c>
    </row>
    <row r="143" spans="1:10" ht="51" x14ac:dyDescent="0.25">
      <c r="A143" s="2" t="s">
        <v>45</v>
      </c>
      <c r="B143" s="3" t="s">
        <v>288</v>
      </c>
      <c r="C143" s="4" t="str">
        <f>HYPERLINK("http://www8.mpce.mp.br/Dispensa/2060220148.pdf","20602/2014-8")</f>
        <v>20602/2014-8</v>
      </c>
      <c r="D143" s="5">
        <v>45342</v>
      </c>
      <c r="E143" s="9" t="str">
        <f>HYPERLINK("https://www8.mpce.mp.br/Empenhos/150001/Objeto/19-2014.pdf","LOCAÇÃO DE IMÓVEL CONFORME CONTRATO 19/2014 REFERENTE ÀS PROMOTORIAS DE JUSTIÇA DA INFÂNCIA E JUVENTUDE RELATIVO AO MES DE FEVEREIRO E MARÇO DE 2024, POR ESTIMATIVA.")</f>
        <v>LOCAÇÃO DE IMÓVEL CONFORME CONTRATO 19/2014 REFERENTE ÀS PROMOTORIAS DE JUSTIÇA DA INFÂNCIA E JUVENTUDE RELATIVO AO MES DE FEVEREIRO E MARÇO DE 2024, POR ESTIMATIVA.</v>
      </c>
      <c r="F143" s="3" t="s">
        <v>127</v>
      </c>
      <c r="G143" s="6" t="str">
        <f>HYPERLINK("http://www8.mpce.mp.br/Empenhos/150501/NE/2024NE000152.pdf","2024NE000152")</f>
        <v>2024NE000152</v>
      </c>
      <c r="H143" s="7">
        <v>14538.26</v>
      </c>
      <c r="I143" s="8" t="s">
        <v>175</v>
      </c>
      <c r="J143" s="12" t="s">
        <v>176</v>
      </c>
    </row>
    <row r="144" spans="1:10" ht="51" x14ac:dyDescent="0.25">
      <c r="A144" s="2" t="s">
        <v>45</v>
      </c>
      <c r="B144" s="3" t="s">
        <v>289</v>
      </c>
      <c r="C144" s="4" t="str">
        <f>HYPERLINK("http://www8.mpce.mp.br/Dispensa/575920103.pdf","5759/2010-3")</f>
        <v>5759/2010-3</v>
      </c>
      <c r="D144" s="5">
        <v>45342</v>
      </c>
      <c r="E144" s="9" t="str">
        <f>HYPERLINK("https://www8.mpce.mp.br/Empenhos/150001/Objeto/22-2010.pdf","EMPENHO DE LOCAÇÃO DE IMÓVEIS ONDE FUNCIONAM AS PROMOTORIAS DE JUSTIÇA DE GUAIÚBA, CONTRATO 022/2010/PGJ REFERENTE AOS MESES DE FEV E MARÇO DE 2024.")</f>
        <v>EMPENHO DE LOCAÇÃO DE IMÓVEIS ONDE FUNCIONAM AS PROMOTORIAS DE JUSTIÇA DE GUAIÚBA, CONTRATO 022/2010/PGJ REFERENTE AOS MESES DE FEV E MARÇO DE 2024.</v>
      </c>
      <c r="F144" s="3" t="s">
        <v>172</v>
      </c>
      <c r="G144" s="6" t="str">
        <f>HYPERLINK("http://www8.mpce.mp.br/Empenhos/150501/NE/2024NE000153.pdf","2024NE000153")</f>
        <v>2024NE000153</v>
      </c>
      <c r="H144" s="7">
        <v>4683.9399999999996</v>
      </c>
      <c r="I144" s="8" t="s">
        <v>222</v>
      </c>
      <c r="J144" s="12" t="s">
        <v>223</v>
      </c>
    </row>
    <row r="145" spans="1:10" ht="51" x14ac:dyDescent="0.25">
      <c r="A145" s="2" t="s">
        <v>45</v>
      </c>
      <c r="B145" s="3" t="s">
        <v>288</v>
      </c>
      <c r="C145" s="4" t="str">
        <f>HYPERLINK("http://www8.mpce.mp.br/Dispensa/2826420164.pdf","28264/2016-4")</f>
        <v>28264/2016-4</v>
      </c>
      <c r="D145" s="5">
        <v>45349</v>
      </c>
      <c r="E145" s="9" t="str">
        <f>HYPERLINK("https://www8.mpce.mp.br/Empenhos/150001/Objeto/26-2016.pdf","LOCAÇÃO DE IMÓVEL CONFORME CONTRATO 26/2016 DOS CENTROS DE APOIO OPERACIONAL E ÓRGÃOS DE INVESTIGAÇÃO REFERENTE AO MES DE FEVEREIRO E MARÇO DE 2024, POR ESTIMATIVA.")</f>
        <v>LOCAÇÃO DE IMÓVEL CONFORME CONTRATO 26/2016 DOS CENTROS DE APOIO OPERACIONAL E ÓRGÃOS DE INVESTIGAÇÃO REFERENTE AO MES DE FEVEREIRO E MARÇO DE 2024, POR ESTIMATIVA.</v>
      </c>
      <c r="F145" s="3" t="s">
        <v>127</v>
      </c>
      <c r="G145" s="6" t="str">
        <f>HYPERLINK("http://www8.mpce.mp.br/Empenhos/150501/NE/2024NE000154.pdf","2024NE000154")</f>
        <v>2024NE000154</v>
      </c>
      <c r="H145" s="7">
        <v>123917.06</v>
      </c>
      <c r="I145" s="8" t="s">
        <v>153</v>
      </c>
      <c r="J145" s="12" t="s">
        <v>154</v>
      </c>
    </row>
    <row r="146" spans="1:10" ht="38.25" x14ac:dyDescent="0.25">
      <c r="A146" s="2" t="s">
        <v>45</v>
      </c>
      <c r="B146" s="3" t="s">
        <v>275</v>
      </c>
      <c r="C146" s="4" t="str">
        <f>HYPERLINK("https://transparencia-area-fim.mpce.mp.br/#/consulta/processo/pastadigital/092021000063220","09.2021.00006322-0")</f>
        <v>09.2021.00006322-0</v>
      </c>
      <c r="D146" s="5">
        <v>45342</v>
      </c>
      <c r="E146" s="9" t="str">
        <f>HYPERLINK("https://www8.mpce.mp.br/Empenhos/150001/Objeto/33-2021.pdf","LOCAÇÃO DE IMÓVEL CONFORME CONTRATO 33/2021 DAS PROMOTORIAS DE JUSTIÇA DE SOBRAL REFERENTE AO MES DE FEVEREIRO E MARÇO DE 2024, POR ESTIMATIVA.")</f>
        <v>LOCAÇÃO DE IMÓVEL CONFORME CONTRATO 33/2021 DAS PROMOTORIAS DE JUSTIÇA DE SOBRAL REFERENTE AO MES DE FEVEREIRO E MARÇO DE 2024, POR ESTIMATIVA.</v>
      </c>
      <c r="F146" s="3" t="s">
        <v>127</v>
      </c>
      <c r="G146" s="6" t="str">
        <f>HYPERLINK("http://www8.mpce.mp.br/Empenhos/150501/NE/2024NE000155.pdf","2024NE000155")</f>
        <v>2024NE000155</v>
      </c>
      <c r="H146" s="7">
        <v>66800.22</v>
      </c>
      <c r="I146" s="8" t="s">
        <v>145</v>
      </c>
      <c r="J146" s="12" t="s">
        <v>146</v>
      </c>
    </row>
    <row r="147" spans="1:10" ht="51" x14ac:dyDescent="0.25">
      <c r="A147" s="2" t="s">
        <v>45</v>
      </c>
      <c r="B147" s="3" t="s">
        <v>290</v>
      </c>
      <c r="C147" s="4" t="str">
        <f>HYPERLINK("https://transparencia-area-fim.mpce.mp.br/#/consulta/processo/pastadigital/092021000155016","09.2021.00015501-6")</f>
        <v>09.2021.00015501-6</v>
      </c>
      <c r="D147" s="5">
        <v>45342</v>
      </c>
      <c r="E147" s="9" t="str">
        <f>HYPERLINK("https://www8.mpce.mp.br/Empenhos/150001/Objeto/26-2021.pdf","EMPENHO DE LOCAÇÃO DE IMÓVEIS ONDE FUNCIONAM AS PROMOTORIAS DE JUSTIÇA DE BREJO SANTO, CONTRATO 026/2021/PGJ REFERENTE AOS MESES DE FEV E MARÇO DE 2024.")</f>
        <v>EMPENHO DE LOCAÇÃO DE IMÓVEIS ONDE FUNCIONAM AS PROMOTORIAS DE JUSTIÇA DE BREJO SANTO, CONTRATO 026/2021/PGJ REFERENTE AOS MESES DE FEV E MARÇO DE 2024.</v>
      </c>
      <c r="F147" s="3" t="s">
        <v>172</v>
      </c>
      <c r="G147" s="6" t="str">
        <f>HYPERLINK("http://www8.mpce.mp.br/Empenhos/150501/NE/2024NE000156.pdf","2024NE000156")</f>
        <v>2024NE000156</v>
      </c>
      <c r="H147" s="7">
        <v>5203.1000000000004</v>
      </c>
      <c r="I147" s="8" t="s">
        <v>214</v>
      </c>
      <c r="J147" s="12" t="s">
        <v>215</v>
      </c>
    </row>
    <row r="148" spans="1:10" ht="38.25" x14ac:dyDescent="0.25">
      <c r="A148" s="2" t="s">
        <v>45</v>
      </c>
      <c r="B148" s="3" t="s">
        <v>291</v>
      </c>
      <c r="C148" s="4" t="str">
        <f>HYPERLINK("https://transparencia-area-fim.mpce.mp.br/#/consulta/processo/pastadigital/092022000264193","09.2022.00026419-3")</f>
        <v>09.2022.00026419-3</v>
      </c>
      <c r="D148" s="5">
        <v>45342</v>
      </c>
      <c r="E148" s="9" t="str">
        <f>HYPERLINK("https://www8.mpce.mp.br/Empenhos/150001/Objeto/28-2022.pdf","LOCAÇÃO DE IMÓVEIS ONDE FUNCIONAM AS PROMOTORIAS DE JUSTIÇA DE AURORA, CONTRATO 028/2022/PGJ REFERENTE AOS MESES DE FEV E MARÇO DE 2024.")</f>
        <v>LOCAÇÃO DE IMÓVEIS ONDE FUNCIONAM AS PROMOTORIAS DE JUSTIÇA DE AURORA, CONTRATO 028/2022/PGJ REFERENTE AOS MESES DE FEV E MARÇO DE 2024.</v>
      </c>
      <c r="F148" s="3" t="s">
        <v>172</v>
      </c>
      <c r="G148" s="6" t="str">
        <f>HYPERLINK("http://www8.mpce.mp.br/Empenhos/150501/NE/2024NE000157.pdf","2024NE000157")</f>
        <v>2024NE000157</v>
      </c>
      <c r="H148" s="7">
        <v>4000</v>
      </c>
      <c r="I148" s="8" t="s">
        <v>212</v>
      </c>
      <c r="J148" s="12" t="s">
        <v>213</v>
      </c>
    </row>
    <row r="149" spans="1:10" ht="38.25" x14ac:dyDescent="0.25">
      <c r="A149" s="2" t="s">
        <v>20</v>
      </c>
      <c r="B149" s="3" t="s">
        <v>21</v>
      </c>
      <c r="C149" s="4" t="str">
        <f>HYPERLINK("https://transparencia-area-fim.mpce.mp.br/#/consulta/processo/pastadigital/092023000293915","09.2023.00029391-5")</f>
        <v>09.2023.00029391-5</v>
      </c>
      <c r="D149" s="5">
        <v>45342</v>
      </c>
      <c r="E149" s="9" t="str">
        <f>HYPERLINK("https://www8.mpce.mp.br/Empenhos/150001/Objeto/54-2023.pdf","LOCAÇÃO DE IMÓVEL, CONFORME CONTRATO 54/2023, DO GALPÃO DO ALMOXARIFADO REFERENTE AO MES DE FEVEREIRO E MARÇO DE 2024, POR ESTIMATIVA.")</f>
        <v>LOCAÇÃO DE IMÓVEL, CONFORME CONTRATO 54/2023, DO GALPÃO DO ALMOXARIFADO REFERENTE AO MES DE FEVEREIRO E MARÇO DE 2024, POR ESTIMATIVA.</v>
      </c>
      <c r="F149" s="3" t="s">
        <v>127</v>
      </c>
      <c r="G149" s="6" t="str">
        <f>HYPERLINK("http://www8.mpce.mp.br/Empenhos/150501/NE/2024NE000158.pdf","2024NE000158")</f>
        <v>2024NE000158</v>
      </c>
      <c r="H149" s="7">
        <v>44000</v>
      </c>
      <c r="I149" s="8" t="s">
        <v>164</v>
      </c>
      <c r="J149" s="12" t="s">
        <v>165</v>
      </c>
    </row>
    <row r="150" spans="1:10" ht="38.25" x14ac:dyDescent="0.25">
      <c r="A150" s="2" t="s">
        <v>45</v>
      </c>
      <c r="B150" s="3" t="s">
        <v>292</v>
      </c>
      <c r="C150" s="4" t="str">
        <f>HYPERLINK("https://transparencia-area-fim.mpce.mp.br/#/consulta/processo/pastadigital/092022000091296","09.2022.00009129-6")</f>
        <v>09.2022.00009129-6</v>
      </c>
      <c r="D150" s="5">
        <v>45342</v>
      </c>
      <c r="E150" s="9" t="str">
        <f>HYPERLINK("https://www8.mpce.mp.br/Empenhos/150001/Objeto/33-2022.pdf","LOCAÇÃO DE IMÓVEIS ONDE FUNCIONAM AS PROMOTORIAS DE JUSTIÇA DE VÁRZEA ALEGRE, CONTRATO 033/2022/PGJ REFERENTE AOS MESES DE FEV E MARÇO DE 2024.")</f>
        <v>LOCAÇÃO DE IMÓVEIS ONDE FUNCIONAM AS PROMOTORIAS DE JUSTIÇA DE VÁRZEA ALEGRE, CONTRATO 033/2022/PGJ REFERENTE AOS MESES DE FEV E MARÇO DE 2024.</v>
      </c>
      <c r="F150" s="3" t="s">
        <v>172</v>
      </c>
      <c r="G150" s="6" t="str">
        <f>HYPERLINK("http://www8.mpce.mp.br/Empenhos/150501/NE/2024NE000159.pdf","2024NE000159")</f>
        <v>2024NE000159</v>
      </c>
      <c r="H150" s="7">
        <v>1600</v>
      </c>
      <c r="I150" s="8" t="s">
        <v>208</v>
      </c>
      <c r="J150" s="12" t="s">
        <v>209</v>
      </c>
    </row>
    <row r="151" spans="1:10" ht="38.25" x14ac:dyDescent="0.25">
      <c r="A151" s="2" t="s">
        <v>45</v>
      </c>
      <c r="B151" s="3" t="s">
        <v>275</v>
      </c>
      <c r="C151" s="4" t="str">
        <f>HYPERLINK("https://transparencia-area-fim.mpce.mp.br/#/consulta/processo/pastadigital/092021000244271","09.2021.00024427-1")</f>
        <v>09.2021.00024427-1</v>
      </c>
      <c r="D151" s="5">
        <v>45342</v>
      </c>
      <c r="E151" s="9" t="str">
        <f>HYPERLINK("https://www8.mpce.mp.br/Empenhos/150001/Objeto/17-2022.pdf","LOCAÇÃO DE IMÓVEL CONFORME CONTRATO 17/2022 DAS PROMOTORIAS DE JUSTIÇA DE TIANGUÁ REFERENTE AO MES DE FEVEREIRO E MARÇO DE 2024, POR ESTIMATIVA.")</f>
        <v>LOCAÇÃO DE IMÓVEL CONFORME CONTRATO 17/2022 DAS PROMOTORIAS DE JUSTIÇA DE TIANGUÁ REFERENTE AO MES DE FEVEREIRO E MARÇO DE 2024, POR ESTIMATIVA.</v>
      </c>
      <c r="F151" s="3" t="s">
        <v>127</v>
      </c>
      <c r="G151" s="6" t="str">
        <f>HYPERLINK("http://www8.mpce.mp.br/Empenhos/150501/NE/2024NE000160.pdf","2024NE000160")</f>
        <v>2024NE000160</v>
      </c>
      <c r="H151" s="7">
        <v>52000</v>
      </c>
      <c r="I151" s="8" t="s">
        <v>186</v>
      </c>
      <c r="J151" s="12" t="s">
        <v>187</v>
      </c>
    </row>
    <row r="152" spans="1:10" ht="38.25" x14ac:dyDescent="0.25">
      <c r="A152" s="2" t="s">
        <v>20</v>
      </c>
      <c r="B152" s="3" t="s">
        <v>293</v>
      </c>
      <c r="C152" s="4" t="str">
        <f>HYPERLINK("https://transparencia-area-fim.mpce.mp.br/#/consulta/processo/pastadigital/092022000426227","09.2022.00042622-7")</f>
        <v>09.2022.00042622-7</v>
      </c>
      <c r="D152" s="5">
        <v>45342</v>
      </c>
      <c r="E152" s="9" t="str">
        <f>HYPERLINK("https://www8.mpce.mp.br/Empenhos/150001/Objeto/33-2023.pdf","LOCAÇÃO DE IMÓVEIS ONDE FUNCIONAM AS PROMOTORIAS DE JUSTIÇA DE JUCÁS, CONTRATO 033/2023/PGJ REFERENTE AOS MESES DE FEV E MARÇO DE 2024.")</f>
        <v>LOCAÇÃO DE IMÓVEIS ONDE FUNCIONAM AS PROMOTORIAS DE JUSTIÇA DE JUCÁS, CONTRATO 033/2023/PGJ REFERENTE AOS MESES DE FEV E MARÇO DE 2024.</v>
      </c>
      <c r="F152" s="3" t="s">
        <v>172</v>
      </c>
      <c r="G152" s="6" t="str">
        <f>HYPERLINK("http://www8.mpce.mp.br/Empenhos/150501/NE/2024NE000161.pdf","2024NE000161")</f>
        <v>2024NE000161</v>
      </c>
      <c r="H152" s="7">
        <v>5000</v>
      </c>
      <c r="I152" s="8" t="s">
        <v>206</v>
      </c>
      <c r="J152" s="12" t="s">
        <v>207</v>
      </c>
    </row>
    <row r="153" spans="1:10" ht="51" x14ac:dyDescent="0.25">
      <c r="A153" s="2" t="s">
        <v>45</v>
      </c>
      <c r="B153" s="3" t="s">
        <v>171</v>
      </c>
      <c r="C153" s="4" t="str">
        <f>HYPERLINK("http://www8.mpce.mp.br/Dispensa/4793720162.pdf","4793720162")</f>
        <v>4793720162</v>
      </c>
      <c r="D153" s="5">
        <v>45342</v>
      </c>
      <c r="E153" s="9" t="str">
        <f>HYPERLINK("https://www8.mpce.mp.br/Empenhos/150001/Objeto/14-2017.pdf","LOCAÇÃO DE IMÓVEL, CONFORME CONTRATO 14/2017, RELATIVO AO GALPÃO DO ALMOXARIFADO (RUA NEUZINHA PARENTE, 610), REFERENTE A FEVEREIRO E MARÇO DE 2024 - POR ESTIMATIVA.")</f>
        <v>LOCAÇÃO DE IMÓVEL, CONFORME CONTRATO 14/2017, RELATIVO AO GALPÃO DO ALMOXARIFADO (RUA NEUZINHA PARENTE, 610), REFERENTE A FEVEREIRO E MARÇO DE 2024 - POR ESTIMATIVA.</v>
      </c>
      <c r="F153" s="3" t="s">
        <v>127</v>
      </c>
      <c r="G153" s="6" t="str">
        <f>HYPERLINK("http://www8.mpce.mp.br/Empenhos/150501/NE/2024NE000162.pdf","2024NE000162")</f>
        <v>2024NE000162</v>
      </c>
      <c r="H153" s="7">
        <v>44286.96</v>
      </c>
      <c r="I153" s="8" t="s">
        <v>164</v>
      </c>
      <c r="J153" s="12" t="s">
        <v>165</v>
      </c>
    </row>
    <row r="154" spans="1:10" ht="38.25" x14ac:dyDescent="0.25">
      <c r="A154" s="2" t="s">
        <v>20</v>
      </c>
      <c r="B154" s="3" t="s">
        <v>294</v>
      </c>
      <c r="C154" s="4" t="str">
        <f>HYPERLINK("https://transparencia-area-fim.mpce.mp.br/#/consulta/processo/pastadigital/092022000371847","09.2022.00037184-7")</f>
        <v>09.2022.00037184-7</v>
      </c>
      <c r="D154" s="5">
        <v>45342</v>
      </c>
      <c r="E154" s="9" t="str">
        <f>HYPERLINK("https://www8.mpce.mp.br/Empenhos/150001/Objeto/44-2023.pdf","LOCAÇÃO DE IMÓVEIS ONDE FUNCIONAM AS PROMOTORIAS DE JUSTIÇA DE MARCO, CONTRATO 044/2023/PGJ REFERENTE AO MES DE FEV E MARÇO DE 2024.")</f>
        <v>LOCAÇÃO DE IMÓVEIS ONDE FUNCIONAM AS PROMOTORIAS DE JUSTIÇA DE MARCO, CONTRATO 044/2023/PGJ REFERENTE AO MES DE FEV E MARÇO DE 2024.</v>
      </c>
      <c r="F154" s="3" t="s">
        <v>172</v>
      </c>
      <c r="G154" s="6" t="str">
        <f>HYPERLINK("http://www8.mpce.mp.br/Empenhos/150501/NE/2024NE000163.pdf","2024NE000163")</f>
        <v>2024NE000163</v>
      </c>
      <c r="H154" s="7">
        <v>2400</v>
      </c>
      <c r="I154" s="8" t="s">
        <v>193</v>
      </c>
      <c r="J154" s="12" t="s">
        <v>194</v>
      </c>
    </row>
    <row r="155" spans="1:10" ht="51" x14ac:dyDescent="0.25">
      <c r="A155" s="2" t="s">
        <v>45</v>
      </c>
      <c r="B155" s="3" t="s">
        <v>171</v>
      </c>
      <c r="C155" s="4" t="str">
        <f>HYPERLINK("http://www8.mpce.mp.br/Dispensa/4572720144.pdf","45727/2014-4")</f>
        <v>45727/2014-4</v>
      </c>
      <c r="D155" s="5">
        <v>45342</v>
      </c>
      <c r="E155" s="9" t="str">
        <f>HYPERLINK("https://www8.mpce.mp.br/Empenhos/150001/Objeto/01-2015.pdf","LOCAÇÃO DE IMÓVEIS ONDE FUNCIONAM AS PROMOTORIAS DE JUSTIÇA DE JUAZEIRO DO NORTE, CONFORME CONTRATO 001/2015/PGJ RELATIVOS AS COMPETÊNCIAS DE FEVEREIRO E MARÇO DE 2024 - POR ESTIMATIVA.")</f>
        <v>LOCAÇÃO DE IMÓVEIS ONDE FUNCIONAM AS PROMOTORIAS DE JUSTIÇA DE JUAZEIRO DO NORTE, CONFORME CONTRATO 001/2015/PGJ RELATIVOS AS COMPETÊNCIAS DE FEVEREIRO E MARÇO DE 2024 - POR ESTIMATIVA.</v>
      </c>
      <c r="F155" s="3" t="s">
        <v>127</v>
      </c>
      <c r="G155" s="6" t="str">
        <f>HYPERLINK("http://www8.mpce.mp.br/Empenhos/150501/NE/2024NE000164.pdf","2024NE000164")</f>
        <v>2024NE000164</v>
      </c>
      <c r="H155" s="7">
        <v>65525.26</v>
      </c>
      <c r="I155" s="8" t="s">
        <v>226</v>
      </c>
      <c r="J155" s="12" t="s">
        <v>227</v>
      </c>
    </row>
    <row r="156" spans="1:10" ht="51" x14ac:dyDescent="0.25">
      <c r="A156" s="2" t="s">
        <v>45</v>
      </c>
      <c r="B156" s="3" t="s">
        <v>295</v>
      </c>
      <c r="C156" s="4" t="str">
        <f>HYPERLINK("http://www8.mpce.mp.br/Dispensa/2826420164.pdf","28264/2016-4")</f>
        <v>28264/2016-4</v>
      </c>
      <c r="D156" s="5">
        <v>45342</v>
      </c>
      <c r="E156" s="9" t="str">
        <f>HYPERLINK("https://www8.mpce.mp.br/Empenhos/150001/Objeto/26-2016.pdf","EMPENHO DE IPTU/2024, REFERENTE A 1ª PARCELA, ONDE FUNCIONAM OS CENTROS DE APOIO E INVESTIGAÇÃO, LOCALIZADA NA AVENIDA ANTÔNIO SALES, 1740, DIONÍSIO TORRES, CONF. CONTRATO Nº026/2016/PGJ.")</f>
        <v>EMPENHO DE IPTU/2024, REFERENTE A 1ª PARCELA, ONDE FUNCIONAM OS CENTROS DE APOIO E INVESTIGAÇÃO, LOCALIZADA NA AVENIDA ANTÔNIO SALES, 1740, DIONÍSIO TORRES, CONF. CONTRATO Nº026/2016/PGJ.</v>
      </c>
      <c r="F156" s="3" t="s">
        <v>264</v>
      </c>
      <c r="G156" s="6" t="str">
        <f>HYPERLINK("http://www8.mpce.mp.br/Empenhos/150501/NE/2024NE000165.pdf","2024NE000165")</f>
        <v>2024NE000165</v>
      </c>
      <c r="H156" s="7">
        <v>3155.42</v>
      </c>
      <c r="I156" s="8" t="s">
        <v>153</v>
      </c>
      <c r="J156" s="12" t="s">
        <v>154</v>
      </c>
    </row>
    <row r="157" spans="1:10" ht="51" x14ac:dyDescent="0.25">
      <c r="A157" s="2" t="s">
        <v>45</v>
      </c>
      <c r="B157" s="3" t="s">
        <v>171</v>
      </c>
      <c r="C157" s="4" t="str">
        <f>HYPERLINK("http://www8.mpce.mp.br/Dispensa/1984020196.pdf","19840/2019-6")</f>
        <v>19840/2019-6</v>
      </c>
      <c r="D157" s="5">
        <v>45342</v>
      </c>
      <c r="E157" s="9" t="str">
        <f>HYPERLINK("https://www8.mpce.mp.br/Empenhos/150001/Objeto/48-2019.pdf","LOCAÇÃO DE IMÓVEIS ONDE FUNCIONAM AS PROMOTORIAS DE JUSTIÇA DE CAUCAIA, CONFORME CONTRATO 048/2019/PGJ RELATIVOS AS COMPETÊNCIAS DE FEVEREIRO E MARÇO DE 2024 - POR ESTIMATIVA.")</f>
        <v>LOCAÇÃO DE IMÓVEIS ONDE FUNCIONAM AS PROMOTORIAS DE JUSTIÇA DE CAUCAIA, CONFORME CONTRATO 048/2019/PGJ RELATIVOS AS COMPETÊNCIAS DE FEVEREIRO E MARÇO DE 2024 - POR ESTIMATIVA.</v>
      </c>
      <c r="F157" s="3" t="s">
        <v>127</v>
      </c>
      <c r="G157" s="6" t="str">
        <f>HYPERLINK("http://www8.mpce.mp.br/Empenhos/150501/NE/2024NE000166.pdf","2024NE000166")</f>
        <v>2024NE000166</v>
      </c>
      <c r="H157" s="7">
        <v>91025.54</v>
      </c>
      <c r="I157" s="8" t="s">
        <v>162</v>
      </c>
      <c r="J157" s="12" t="s">
        <v>163</v>
      </c>
    </row>
    <row r="158" spans="1:10" ht="38.25" x14ac:dyDescent="0.25">
      <c r="A158" s="2" t="s">
        <v>45</v>
      </c>
      <c r="B158" s="3" t="s">
        <v>296</v>
      </c>
      <c r="C158" s="4" t="str">
        <f>HYPERLINK("https://transparencia-area-fim.mpce.mp.br/#/consulta/processo/pastadigital/092022000276145","09.2022.00027614-5")</f>
        <v>09.2022.00027614-5</v>
      </c>
      <c r="D158" s="5">
        <v>45342</v>
      </c>
      <c r="E158" s="9" t="str">
        <f>HYPERLINK("https://www8.mpce.mp.br/Empenhos/150001/Objeto/36-2022.pdf","LOCAÇÃO DE IMÓVEL ONDE FUNCIONAM AS PROMOTORIAS DE JUSTIÇA DE ARARIPE, CONTRATO 036/2022/PGJ REFERENTE AOS MESES DE FEV E MARÇO DE 2024.")</f>
        <v>LOCAÇÃO DE IMÓVEL ONDE FUNCIONAM AS PROMOTORIAS DE JUSTIÇA DE ARARIPE, CONTRATO 036/2022/PGJ REFERENTE AOS MESES DE FEV E MARÇO DE 2024.</v>
      </c>
      <c r="F158" s="3" t="s">
        <v>172</v>
      </c>
      <c r="G158" s="6" t="str">
        <f>HYPERLINK("http://www8.mpce.mp.br/Empenhos/150501/NE/2024NE000167.pdf","2024NE000167")</f>
        <v>2024NE000167</v>
      </c>
      <c r="H158" s="7">
        <v>3000</v>
      </c>
      <c r="I158" s="8" t="s">
        <v>202</v>
      </c>
      <c r="J158" s="12" t="s">
        <v>203</v>
      </c>
    </row>
    <row r="159" spans="1:10" ht="76.5" x14ac:dyDescent="0.25">
      <c r="A159" s="2" t="s">
        <v>45</v>
      </c>
      <c r="B159" s="3" t="s">
        <v>171</v>
      </c>
      <c r="C159" s="4" t="str">
        <f>HYPERLINK("http://www8.mpce.mp.br/Dispensa/842220170.pdf","8422/20170")</f>
        <v>8422/20170</v>
      </c>
      <c r="D159" s="5">
        <v>45342</v>
      </c>
      <c r="E159" s="9" t="str">
        <f>HYPERLINK("https://www8.mpce.mp.br/Empenhos/150001/Objeto/16-2017.pdf","LOCAÇÃO DE IMÓVEIS ONDE FUNCIONAM AS PROCURADORIAS DE JUSTIÇA, PROCAP E GECOC (RUA CORONEL JOSÉ PHILOMENO, 222, ENG. LUCIANO CAVALCANTE), CONFORME CONTRATO 016/2017/PGJ RELATIVOS AS COMPETÊNCIAS DE FEVEREIRO E MARÇO DE 2024 - POR ESTIMATIVA.")</f>
        <v>LOCAÇÃO DE IMÓVEIS ONDE FUNCIONAM AS PROCURADORIAS DE JUSTIÇA, PROCAP E GECOC (RUA CORONEL JOSÉ PHILOMENO, 222, ENG. LUCIANO CAVALCANTE), CONFORME CONTRATO 016/2017/PGJ RELATIVOS AS COMPETÊNCIAS DE FEVEREIRO E MARÇO DE 2024 - POR ESTIMATIVA.</v>
      </c>
      <c r="F159" s="3" t="s">
        <v>127</v>
      </c>
      <c r="G159" s="6" t="str">
        <f>HYPERLINK("http://www8.mpce.mp.br/Empenhos/150501/NE/2024NE000168.pdf","2024NE000168")</f>
        <v>2024NE000168</v>
      </c>
      <c r="H159" s="7">
        <v>117821.94</v>
      </c>
      <c r="I159" s="8" t="s">
        <v>169</v>
      </c>
      <c r="J159" s="12" t="s">
        <v>170</v>
      </c>
    </row>
    <row r="160" spans="1:10" ht="38.25" x14ac:dyDescent="0.25">
      <c r="A160" s="2" t="s">
        <v>45</v>
      </c>
      <c r="B160" s="3" t="s">
        <v>297</v>
      </c>
      <c r="C160" s="4" t="str">
        <f>HYPERLINK("https://transparencia-area-fim.mpce.mp.br/#/consulta/processo/pastadigital/092021000065217","09.2021.00006521-7")</f>
        <v>09.2021.00006521-7</v>
      </c>
      <c r="D160" s="5">
        <v>45342</v>
      </c>
      <c r="E160" s="9" t="str">
        <f>HYPERLINK("https://www8.mpce.mp.br/Empenhos/150001/Objeto/38-2021.pdf","EMPENHO DOS ALUGUÉIS DOS MESES DE FEV E MARÇO DE 2024, ONDE FUNCIONAM AS PROMOTORIAS DE JUSTIÇA DA COMARCA DE TAUÁ, CONF. CONTRATO 038/2021/PGJ.")</f>
        <v>EMPENHO DOS ALUGUÉIS DOS MESES DE FEV E MARÇO DE 2024, ONDE FUNCIONAM AS PROMOTORIAS DE JUSTIÇA DA COMARCA DE TAUÁ, CONF. CONTRATO 038/2021/PGJ.</v>
      </c>
      <c r="F160" s="3" t="s">
        <v>127</v>
      </c>
      <c r="G160" s="6" t="str">
        <f>HYPERLINK("http://www8.mpce.mp.br/Empenhos/150501/NE/2024NE000169.pdf","2024NE000169")</f>
        <v>2024NE000169</v>
      </c>
      <c r="H160" s="7">
        <v>36000</v>
      </c>
      <c r="I160" s="8" t="s">
        <v>157</v>
      </c>
      <c r="J160" s="12" t="s">
        <v>158</v>
      </c>
    </row>
    <row r="161" spans="1:10" ht="51" x14ac:dyDescent="0.25">
      <c r="A161" s="2" t="s">
        <v>45</v>
      </c>
      <c r="B161" s="3" t="s">
        <v>171</v>
      </c>
      <c r="C161" s="4" t="str">
        <f>HYPERLINK("http://www8.mpce.mp.br/Dispensa/2887720171.pdf","28877/2017-1")</f>
        <v>28877/2017-1</v>
      </c>
      <c r="D161" s="5">
        <v>45342</v>
      </c>
      <c r="E161" s="9" t="str">
        <f>HYPERLINK("https://www8.mpce.mp.br/Empenhos/150001/Objeto/24-2019.pdf","LOCAÇÃO DE IMÓVEIS ONDE FUNCIONAM AS PROMOTORIAS DE JUSTIÇA DE JAGUARIBE, CONFORME CONTRATO 024/2019/PGJ RELATIVOS AS COMPETÊNCIAS DE FEVEREIRO DE 2024 - POR ESTIMATIVA")</f>
        <v>LOCAÇÃO DE IMÓVEIS ONDE FUNCIONAM AS PROMOTORIAS DE JUSTIÇA DE JAGUARIBE, CONFORME CONTRATO 024/2019/PGJ RELATIVOS AS COMPETÊNCIAS DE FEVEREIRO DE 2024 - POR ESTIMATIVA</v>
      </c>
      <c r="F161" s="3" t="s">
        <v>127</v>
      </c>
      <c r="G161" s="6" t="str">
        <f>HYPERLINK("http://www8.mpce.mp.br/Empenhos/150501/NE/2024NE000170.pdf","2024NE000170")</f>
        <v>2024NE000170</v>
      </c>
      <c r="H161" s="7">
        <v>1431.35</v>
      </c>
      <c r="I161" s="8" t="s">
        <v>151</v>
      </c>
      <c r="J161" s="12" t="s">
        <v>152</v>
      </c>
    </row>
    <row r="162" spans="1:10" ht="51" x14ac:dyDescent="0.25">
      <c r="A162" s="2" t="s">
        <v>20</v>
      </c>
      <c r="B162" s="3" t="s">
        <v>298</v>
      </c>
      <c r="C162" s="4" t="str">
        <f>HYPERLINK("https://transparencia-area-fim.mpce.mp.br/#/consulta/processo/pastadigital/092023000214163","09.2023.00021416-3")</f>
        <v>09.2023.00021416-3</v>
      </c>
      <c r="D162" s="5">
        <v>45342</v>
      </c>
      <c r="E162" s="9" t="str">
        <f>HYPERLINK("https://www8.mpce.mp.br/Empenhos/150001/Objeto/56-2023.pdf","LOCAÇÃO DE IMÓVEIS ONDE FUNCIONAM AS PROMOTORIAS DE JUSTIÇA DE BATURITÉ, CONFORME CONTRATO 056/2023/PGJ RELATIVOS AS COMPETÊNCIAS DE FEVEREIRO E MARÇO DE 2024 - POR ESTIMATIVA.")</f>
        <v>LOCAÇÃO DE IMÓVEIS ONDE FUNCIONAM AS PROMOTORIAS DE JUSTIÇA DE BATURITÉ, CONFORME CONTRATO 056/2023/PGJ RELATIVOS AS COMPETÊNCIAS DE FEVEREIRO E MARÇO DE 2024 - POR ESTIMATIVA.</v>
      </c>
      <c r="F162" s="3" t="s">
        <v>127</v>
      </c>
      <c r="G162" s="6" t="str">
        <f>HYPERLINK("http://www8.mpce.mp.br/Empenhos/150501/NE/2024NE000171.pdf","2024NE000171")</f>
        <v>2024NE000171</v>
      </c>
      <c r="H162" s="7">
        <v>10800</v>
      </c>
      <c r="I162" s="8" t="s">
        <v>167</v>
      </c>
      <c r="J162" s="12" t="s">
        <v>168</v>
      </c>
    </row>
    <row r="163" spans="1:10" ht="51" x14ac:dyDescent="0.25">
      <c r="A163" s="2" t="s">
        <v>45</v>
      </c>
      <c r="B163" s="3" t="s">
        <v>299</v>
      </c>
      <c r="C163" s="4" t="str">
        <f>HYPERLINK("https://transparencia-area-fim.mpce.mp.br/#/consulta/processo/pastadigital/092022000230870","09.2022.00023087-0")</f>
        <v>09.2022.00023087-0</v>
      </c>
      <c r="D163" s="5">
        <v>45342</v>
      </c>
      <c r="E163" s="9" t="str">
        <f>HYPERLINK("https://www8.mpce.mp.br/Empenhos/150001/Objeto/29-2022.pdf","LOCAÇÃO DE IMÓVEIS ONDE FUNCIONAM AS PROMOTORIAS DE JUSTIÇA DE JUAZEIRO DO NORTE, CONFORME CONTRATO 029/2022/PGJ RELATIVOS AS COMPETÊNCIAS DE FEVEREIRO E MARÇO DE 2024 - POR ESTIMATIVA.")</f>
        <v>LOCAÇÃO DE IMÓVEIS ONDE FUNCIONAM AS PROMOTORIAS DE JUSTIÇA DE JUAZEIRO DO NORTE, CONFORME CONTRATO 029/2022/PGJ RELATIVOS AS COMPETÊNCIAS DE FEVEREIRO E MARÇO DE 2024 - POR ESTIMATIVA.</v>
      </c>
      <c r="F163" s="3" t="s">
        <v>127</v>
      </c>
      <c r="G163" s="6" t="str">
        <f>HYPERLINK("http://www8.mpce.mp.br/Empenhos/150501/NE/2024NE000172.pdf","2024NE000172")</f>
        <v>2024NE000172</v>
      </c>
      <c r="H163" s="7">
        <v>132322.82</v>
      </c>
      <c r="I163" s="8" t="s">
        <v>143</v>
      </c>
      <c r="J163" s="12" t="s">
        <v>144</v>
      </c>
    </row>
    <row r="164" spans="1:10" ht="51" x14ac:dyDescent="0.25">
      <c r="A164" s="2" t="s">
        <v>45</v>
      </c>
      <c r="B164" s="3" t="s">
        <v>147</v>
      </c>
      <c r="C164" s="4" t="str">
        <f>HYPERLINK("https://transparencia-area-fim.mpce.mp.br/#/consulta/processo/pastadigital/092022000081432","09.2022.00008143-2")</f>
        <v>09.2022.00008143-2</v>
      </c>
      <c r="D164" s="5">
        <v>45342</v>
      </c>
      <c r="E164" s="9" t="str">
        <f>HYPERLINK("https://www8.mpce.mp.br/Empenhos/150001/Objeto/16-2022.pdf","LOCAÇÃO DE IMÓVEIS ONDE FUNCIONAM AS PROMOTORIAS DE JUSTIÇA DE BARBALHA, CONFORME CONTRATO 016/2022/PGJ RELATIVOS AS COMPETÊNCIAS DE FEVEREIRO E MARÇO DE 2024 - POR ESTIMATIVA.")</f>
        <v>LOCAÇÃO DE IMÓVEIS ONDE FUNCIONAM AS PROMOTORIAS DE JUSTIÇA DE BARBALHA, CONFORME CONTRATO 016/2022/PGJ RELATIVOS AS COMPETÊNCIAS DE FEVEREIRO E MARÇO DE 2024 - POR ESTIMATIVA.</v>
      </c>
      <c r="F164" s="3" t="s">
        <v>127</v>
      </c>
      <c r="G164" s="6" t="str">
        <f>HYPERLINK("http://www8.mpce.mp.br/Empenhos/150501/NE/2024NE000173.pdf","2024NE000173")</f>
        <v>2024NE000173</v>
      </c>
      <c r="H164" s="7">
        <v>32868.519999999997</v>
      </c>
      <c r="I164" s="8" t="s">
        <v>143</v>
      </c>
      <c r="J164" s="12" t="s">
        <v>144</v>
      </c>
    </row>
    <row r="165" spans="1:10" ht="51" x14ac:dyDescent="0.25">
      <c r="A165" s="2" t="s">
        <v>20</v>
      </c>
      <c r="B165" s="3" t="s">
        <v>300</v>
      </c>
      <c r="C165" s="4" t="str">
        <f>HYPERLINK("http://www8.mpce.mp.br/Inexigibilidade/1045920194.pdf","10459/2019-4")</f>
        <v>10459/2019-4</v>
      </c>
      <c r="D165" s="5">
        <v>45342</v>
      </c>
      <c r="E165" s="9" t="str">
        <f>HYPERLINK("https://www8.mpce.mp.br/Empenhos/150001/Objeto/47-2019.pdf","SERVIÇOS DE ANÁLISE DETALHADA E IMPARCIAL CONFORME CONTRATO 47/2019 EM EMPRESA  DE COLETA DE RESÍDUOS SÓLIDO NO MUNICÍPIO DE PARAIPABA-CE.")</f>
        <v>SERVIÇOS DE ANÁLISE DETALHADA E IMPARCIAL CONFORME CONTRATO 47/2019 EM EMPRESA  DE COLETA DE RESÍDUOS SÓLIDO NO MUNICÍPIO DE PARAIPABA-CE.</v>
      </c>
      <c r="F165" s="3" t="s">
        <v>266</v>
      </c>
      <c r="G165" s="6" t="str">
        <f>HYPERLINK("http://www8.mpce.mp.br/Empenhos/150501/NE/2024NE000174.pdf","2024NE000174")</f>
        <v>2024NE000174</v>
      </c>
      <c r="H165" s="7">
        <v>19996.7</v>
      </c>
      <c r="I165" s="8" t="s">
        <v>267</v>
      </c>
      <c r="J165" s="12" t="s">
        <v>268</v>
      </c>
    </row>
    <row r="166" spans="1:10" ht="51" x14ac:dyDescent="0.25">
      <c r="A166" s="2" t="s">
        <v>45</v>
      </c>
      <c r="B166" s="3" t="s">
        <v>301</v>
      </c>
      <c r="C166" s="4" t="str">
        <f>HYPERLINK("https://transparencia-area-fim.mpce.mp.br/#/consulta/processo/pastadigital/092022000343751","09.2022.00034375-1")</f>
        <v>09.2022.00034375-1</v>
      </c>
      <c r="D166" s="5">
        <v>45343</v>
      </c>
      <c r="E166" s="9" t="str">
        <f>HYPERLINK("https://www8.mpce.mp.br/Empenhos/150001/Objeto/08-2023.pdf","LOCAÇÃO DE IMÓVEIS ONDE FUNCIONAM AS PROMOTORIAS DE JUSTIÇA DE QUIXERAMOBIM, CONFORME CONTRATO 008/2023/PGJ RELATIVOS AS COMPETÊNCIAS DE FEVEREIRO E MARÇO DE 2024 - POR ESTIMATIVA.")</f>
        <v>LOCAÇÃO DE IMÓVEIS ONDE FUNCIONAM AS PROMOTORIAS DE JUSTIÇA DE QUIXERAMOBIM, CONFORME CONTRATO 008/2023/PGJ RELATIVOS AS COMPETÊNCIAS DE FEVEREIRO E MARÇO DE 2024 - POR ESTIMATIVA.</v>
      </c>
      <c r="F166" s="3" t="s">
        <v>127</v>
      </c>
      <c r="G166" s="6" t="str">
        <f>HYPERLINK("http://www8.mpce.mp.br/Empenhos/150501/NE/2024NE000175.pdf","2024NE000175")</f>
        <v>2024NE000175</v>
      </c>
      <c r="H166" s="7">
        <v>28360</v>
      </c>
      <c r="I166" s="8" t="s">
        <v>140</v>
      </c>
      <c r="J166" s="12" t="s">
        <v>141</v>
      </c>
    </row>
    <row r="167" spans="1:10" ht="76.5" x14ac:dyDescent="0.25">
      <c r="A167" s="2" t="s">
        <v>45</v>
      </c>
      <c r="B167" s="3" t="s">
        <v>302</v>
      </c>
      <c r="C167" s="4" t="str">
        <f>HYPERLINK("http://www8.mpce.mp.br/Dispensa/2004820193.pdf","20048/2019-3")</f>
        <v>20048/2019-3</v>
      </c>
      <c r="D167" s="5">
        <v>45343</v>
      </c>
      <c r="E167" s="9" t="str">
        <f>HYPERLINK("https://www8.mpce.mp.br/Empenhos/150001/Objeto/84-2019.pdf","EMPENHO DOS ALUGUÉIS DOS MESES DE FEV E  MARÇO DE 2024, REF. AO IMÓVEL ONDE FUNCIONAM AS PROMOTORIAS DE JUSTIÇA DE MOMBAÇA, LOCALIZADA À RUA NOSSA SENHORA DO PERPÉTUO SOCORRO, Nº 340, BAIRRO CENTRO, MOMBAÇA-CE, CONF CONTRATO Nº 084/2019/PGJ.")</f>
        <v>EMPENHO DOS ALUGUÉIS DOS MESES DE FEV E  MARÇO DE 2024, REF. AO IMÓVEL ONDE FUNCIONAM AS PROMOTORIAS DE JUSTIÇA DE MOMBAÇA, LOCALIZADA À RUA NOSSA SENHORA DO PERPÉTUO SOCORRO, Nº 340, BAIRRO CENTRO, MOMBAÇA-CE, CONF CONTRATO Nº 084/2019/PGJ.</v>
      </c>
      <c r="F167" s="3" t="s">
        <v>172</v>
      </c>
      <c r="G167" s="6" t="str">
        <f>HYPERLINK("http://www8.mpce.mp.br/Empenhos/150501/NE/2024NE000176.pdf","2024NE000176")</f>
        <v>2024NE000176</v>
      </c>
      <c r="H167" s="7">
        <v>8000</v>
      </c>
      <c r="I167" s="8" t="s">
        <v>173</v>
      </c>
      <c r="J167" s="12" t="s">
        <v>174</v>
      </c>
    </row>
    <row r="168" spans="1:10" ht="51" x14ac:dyDescent="0.25">
      <c r="A168" s="2" t="s">
        <v>45</v>
      </c>
      <c r="B168" s="3" t="s">
        <v>142</v>
      </c>
      <c r="C168" s="4" t="str">
        <f>HYPERLINK("https://transparencia-area-fim.mpce.mp.br/#/consulta/processo/pastadigital/092021000244282","09.2021.00024428-2")</f>
        <v>09.2021.00024428-2</v>
      </c>
      <c r="D168" s="5">
        <v>45343</v>
      </c>
      <c r="E168" s="9" t="str">
        <f>HYPERLINK("https://www8.mpce.mp.br/Empenhos/150001/Objeto/18-2022.pdf","LOCAÇÃO DE IMÓVEIS ONDE FUNCIONAM AS PROMOTORIAS DE JUSTIÇA DE CRATEÚS, CONFORME CONTRATO 018/2022/PGJ RELATIVOS AS COMPETÊNCIAS DE FEVEREIRO E MARÇO DE 2024 - POR ESTIMATIVA.")</f>
        <v>LOCAÇÃO DE IMÓVEIS ONDE FUNCIONAM AS PROMOTORIAS DE JUSTIÇA DE CRATEÚS, CONFORME CONTRATO 018/2022/PGJ RELATIVOS AS COMPETÊNCIAS DE FEVEREIRO E MARÇO DE 2024 - POR ESTIMATIVA.</v>
      </c>
      <c r="F168" s="3" t="s">
        <v>127</v>
      </c>
      <c r="G168" s="6" t="str">
        <f>HYPERLINK("http://www8.mpce.mp.br/Empenhos/150501/NE/2024NE000177.pdf","2024NE000177")</f>
        <v>2024NE000177</v>
      </c>
      <c r="H168" s="7">
        <v>52000.2</v>
      </c>
      <c r="I168" s="8" t="s">
        <v>145</v>
      </c>
      <c r="J168" s="12" t="s">
        <v>146</v>
      </c>
    </row>
    <row r="169" spans="1:10" ht="38.25" x14ac:dyDescent="0.25">
      <c r="A169" s="2" t="s">
        <v>45</v>
      </c>
      <c r="B169" s="3" t="s">
        <v>303</v>
      </c>
      <c r="C169" s="4" t="str">
        <f>HYPERLINK("http://www8.mpce.mp.br/Dispensa/6795020160.pdf","6795020160")</f>
        <v>6795020160</v>
      </c>
      <c r="D169" s="5">
        <v>45343</v>
      </c>
      <c r="E169" s="9" t="str">
        <f>HYPERLINK("https://www8.mpce.mp.br/Empenhos/150001/Objeto/08-2017.pdf","LOCAÇÃO DE IMÓVEIS ONDE FUNCIONAM AS PROMOTORIAS DE JUSTIÇA DE JARDIM, CONTRATO 008/2017/PGJ REFERENTE AOS MESES DE FEV E MARÇO DE 2024.")</f>
        <v>LOCAÇÃO DE IMÓVEIS ONDE FUNCIONAM AS PROMOTORIAS DE JUSTIÇA DE JARDIM, CONTRATO 008/2017/PGJ REFERENTE AOS MESES DE FEV E MARÇO DE 2024.</v>
      </c>
      <c r="F169" s="3" t="s">
        <v>172</v>
      </c>
      <c r="G169" s="6" t="str">
        <f>HYPERLINK("http://www8.mpce.mp.br/Empenhos/150501/NE/2024NE000178.pdf","2024NE000178")</f>
        <v>2024NE000178</v>
      </c>
      <c r="H169" s="7">
        <v>1360.06</v>
      </c>
      <c r="I169" s="8" t="s">
        <v>230</v>
      </c>
      <c r="J169" s="12" t="s">
        <v>231</v>
      </c>
    </row>
    <row r="170" spans="1:10" ht="38.25" x14ac:dyDescent="0.25">
      <c r="A170" s="2" t="s">
        <v>45</v>
      </c>
      <c r="B170" s="3" t="s">
        <v>304</v>
      </c>
      <c r="C170" s="4" t="str">
        <f>HYPERLINK("http://www8.mpce.mp.br/Dispensa/0013520168.pdf","00135/2016-8")</f>
        <v>00135/2016-8</v>
      </c>
      <c r="D170" s="5">
        <v>45343</v>
      </c>
      <c r="E170" s="9" t="str">
        <f>HYPERLINK("https://www8.mpce.mp.br/Empenhos/150001/Objeto/09-2016.pdf","LOCAÇÃO DE IMÓVEIS ONDE FUNCIONAM AS PROMOTORIAS DE JUSTIÇA DE CANINDÉ, CONTRATO 009/2016/PGJ REFERENTE AOS MESES DE FEV E MARÇO DE 2024.")</f>
        <v>LOCAÇÃO DE IMÓVEIS ONDE FUNCIONAM AS PROMOTORIAS DE JUSTIÇA DE CANINDÉ, CONTRATO 009/2016/PGJ REFERENTE AOS MESES DE FEV E MARÇO DE 2024.</v>
      </c>
      <c r="F170" s="3" t="s">
        <v>172</v>
      </c>
      <c r="G170" s="6" t="str">
        <f>HYPERLINK("http://www8.mpce.mp.br/Empenhos/150501/NE/2024NE000180.pdf","2024NE000180")</f>
        <v>2024NE000180</v>
      </c>
      <c r="H170" s="7">
        <v>3371.64</v>
      </c>
      <c r="I170" s="8" t="s">
        <v>210</v>
      </c>
      <c r="J170" s="12" t="s">
        <v>211</v>
      </c>
    </row>
    <row r="171" spans="1:10" ht="51" x14ac:dyDescent="0.25">
      <c r="A171" s="2" t="s">
        <v>45</v>
      </c>
      <c r="B171" s="3" t="s">
        <v>142</v>
      </c>
      <c r="C171" s="4" t="str">
        <f>HYPERLINK("https://transparencia-area-fim.mpce.mp.br/#/consulta/processo/pastadigital/092021000244582","09.2021.00024458-2")</f>
        <v>09.2021.00024458-2</v>
      </c>
      <c r="D171" s="5">
        <v>45343</v>
      </c>
      <c r="E171" s="9" t="str">
        <f>HYPERLINK("https://www8.mpce.mp.br/Empenhos/150001/Objeto/11-2022.pdf","LOCAÇÃO DE IMÓVEIS ONDE FUNCIONAM AS PROMOTORIAS DE JUSTIÇA DE ARACATI, CONFORME CONTRATO 011/2022/PGJ RELATIVOS AS COMPETÊNCIAS DE FEVEREIRO E MARÇO DE 2024 - POR ESTIMATIVA.")</f>
        <v>LOCAÇÃO DE IMÓVEIS ONDE FUNCIONAM AS PROMOTORIAS DE JUSTIÇA DE ARACATI, CONFORME CONTRATO 011/2022/PGJ RELATIVOS AS COMPETÊNCIAS DE FEVEREIRO E MARÇO DE 2024 - POR ESTIMATIVA.</v>
      </c>
      <c r="F171" s="3" t="s">
        <v>127</v>
      </c>
      <c r="G171" s="6" t="str">
        <f>HYPERLINK("http://www8.mpce.mp.br/Empenhos/150501/NE/2024NE000181.pdf","2024NE000181")</f>
        <v>2024NE000181</v>
      </c>
      <c r="H171" s="7">
        <v>36930</v>
      </c>
      <c r="I171" s="8" t="s">
        <v>182</v>
      </c>
      <c r="J171" s="12" t="s">
        <v>183</v>
      </c>
    </row>
    <row r="172" spans="1:10" ht="38.25" x14ac:dyDescent="0.25">
      <c r="A172" s="2" t="s">
        <v>45</v>
      </c>
      <c r="B172" s="3" t="s">
        <v>305</v>
      </c>
      <c r="C172" s="4" t="str">
        <f>HYPERLINK("http://www8.mpce.mp.br/Dispensa/1320920133.pdf","13209/2013-3")</f>
        <v>13209/2013-3</v>
      </c>
      <c r="D172" s="5">
        <v>45343</v>
      </c>
      <c r="E172" s="9" t="str">
        <f>HYPERLINK("https://www8.mpce.mp.br/Empenhos/150001/Objeto/43-2013.pdf","EMPENHO DE LOCAÇÃO DE IMÓVEL DAS PROMOTORIAS DE MORADA NOVA-CE REF MÊS DE FEV E MAÇO/2024., CONFORME CONTRATO 43/2013.")</f>
        <v>EMPENHO DE LOCAÇÃO DE IMÓVEL DAS PROMOTORIAS DE MORADA NOVA-CE REF MÊS DE FEV E MAÇO/2024., CONFORME CONTRATO 43/2013.</v>
      </c>
      <c r="F172" s="3" t="s">
        <v>172</v>
      </c>
      <c r="G172" s="6" t="str">
        <f>HYPERLINK("http://www8.mpce.mp.br/Empenhos/150501/NE/2024NE000182.pdf","2024NE000182")</f>
        <v>2024NE000182</v>
      </c>
      <c r="H172" s="7">
        <v>16300.56</v>
      </c>
      <c r="I172" s="8" t="s">
        <v>188</v>
      </c>
      <c r="J172" s="12" t="s">
        <v>189</v>
      </c>
    </row>
    <row r="173" spans="1:10" ht="63.75" x14ac:dyDescent="0.25">
      <c r="A173" s="2" t="s">
        <v>45</v>
      </c>
      <c r="B173" s="3" t="s">
        <v>142</v>
      </c>
      <c r="C173" s="4" t="str">
        <f>HYPERLINK("http://www8.mpce.mp.br/Dispensa/4572720144.pdf","45727/2014-4")</f>
        <v>45727/2014-4</v>
      </c>
      <c r="D173" s="5">
        <v>45343</v>
      </c>
      <c r="E173" s="9" t="str">
        <f>HYPERLINK("https://www8.mpce.mp.br/Empenhos/150001/Objeto/01-2015.pdf","EMPENHO DE TAXAS CONDOMINIAIS DAS PROMOTORIAS DE JUSTIÇA DE JUAZEIRO DO NORTE (ED. CENTRAL PARK COMERCIAL, SALAS 1201 A 1218) - CONTRATO 001/2015/PGJ, REFERENTE AOS MESES DE JAN, FEV E MAR/2024 - POR ESTIMATIVA")</f>
        <v>EMPENHO DE TAXAS CONDOMINIAIS DAS PROMOTORIAS DE JUSTIÇA DE JUAZEIRO DO NORTE (ED. CENTRAL PARK COMERCIAL, SALAS 1201 A 1218) - CONTRATO 001/2015/PGJ, REFERENTE AOS MESES DE JAN, FEV E MAR/2024 - POR ESTIMATIVA</v>
      </c>
      <c r="F173" s="3" t="s">
        <v>242</v>
      </c>
      <c r="G173" s="6" t="str">
        <f>HYPERLINK("http://www8.mpce.mp.br/Empenhos/150501/NE/2024NE000183.pdf","2024NE000183")</f>
        <v>2024NE000183</v>
      </c>
      <c r="H173" s="7">
        <v>16740</v>
      </c>
      <c r="I173" s="8" t="s">
        <v>226</v>
      </c>
      <c r="J173" s="12" t="s">
        <v>227</v>
      </c>
    </row>
    <row r="174" spans="1:10" ht="51" x14ac:dyDescent="0.25">
      <c r="A174" s="2" t="s">
        <v>45</v>
      </c>
      <c r="B174" s="3" t="s">
        <v>306</v>
      </c>
      <c r="C174" s="4" t="str">
        <f>HYPERLINK("http://www8.mpce.mp.br/Dispensa/2150720189.pdf","21507/2018-9")</f>
        <v>21507/2018-9</v>
      </c>
      <c r="D174" s="5">
        <v>45343</v>
      </c>
      <c r="E174" s="9" t="str">
        <f>HYPERLINK("https://www8.mpce.mp.br/Empenhos/150001/Objeto/51-2019.pdf","EMPENHO DE LOCAÇÃO DE IMÓVEIS ONDE FUNCIONAM AS PROMOTORIAS DE JUSTIÇA DE VIÇOSA DO CEARÁ, CONTRATO 051/2019/PGJ REFERENTE AOS MESES DE FEV E MARÇO DE 2024.")</f>
        <v>EMPENHO DE LOCAÇÃO DE IMÓVEIS ONDE FUNCIONAM AS PROMOTORIAS DE JUSTIÇA DE VIÇOSA DO CEARÁ, CONTRATO 051/2019/PGJ REFERENTE AOS MESES DE FEV E MARÇO DE 2024.</v>
      </c>
      <c r="F174" s="3" t="s">
        <v>172</v>
      </c>
      <c r="G174" s="6" t="str">
        <f>HYPERLINK("http://www8.mpce.mp.br/Empenhos/150501/NE/2024NE000184.pdf","2024NE000184")</f>
        <v>2024NE000184</v>
      </c>
      <c r="H174" s="7">
        <v>5871.42</v>
      </c>
      <c r="I174" s="8" t="s">
        <v>190</v>
      </c>
      <c r="J174" s="12" t="s">
        <v>191</v>
      </c>
    </row>
    <row r="175" spans="1:10" ht="38.25" x14ac:dyDescent="0.25">
      <c r="A175" s="2" t="s">
        <v>45</v>
      </c>
      <c r="B175" s="3" t="s">
        <v>307</v>
      </c>
      <c r="C175" s="4" t="str">
        <f>HYPERLINK("https://transparencia-area-fim.mpce.mp.br/#/consulta/processo/pastadigital/092021000244550","09.2021.00024455-0")</f>
        <v>09.2021.00024455-0</v>
      </c>
      <c r="D175" s="5">
        <v>45343</v>
      </c>
      <c r="E175" s="9" t="str">
        <f>HYPERLINK("https://www8.mpce.mp.br/Empenhos/150001/Objeto/10-2022.pdf","EMPENHO DE ALUGUEL DO IMÓVEL ONDE FUNCIONAM AS PROMOTORIAS DE ICÓ-CE REF MESES DE FEV E MARÇO CONFORME CONTRATO 010/2022.")</f>
        <v>EMPENHO DE ALUGUEL DO IMÓVEL ONDE FUNCIONAM AS PROMOTORIAS DE ICÓ-CE REF MESES DE FEV E MARÇO CONFORME CONTRATO 010/2022.</v>
      </c>
      <c r="F175" s="3" t="s">
        <v>172</v>
      </c>
      <c r="G175" s="6" t="str">
        <f>HYPERLINK("http://www8.mpce.mp.br/Empenhos/150501/NE/2024NE000185.pdf","2024NE000185")</f>
        <v>2024NE000185</v>
      </c>
      <c r="H175" s="7">
        <v>26973</v>
      </c>
      <c r="I175" s="8" t="s">
        <v>228</v>
      </c>
      <c r="J175" s="12" t="s">
        <v>229</v>
      </c>
    </row>
    <row r="176" spans="1:10" ht="51" x14ac:dyDescent="0.25">
      <c r="A176" s="2" t="s">
        <v>45</v>
      </c>
      <c r="B176" s="3" t="s">
        <v>308</v>
      </c>
      <c r="C176" s="4" t="str">
        <f>HYPERLINK("http://www8.mpce.mp.br/Dispensa/2398120192.pdf","23981/2019-2")</f>
        <v>23981/2019-2</v>
      </c>
      <c r="D176" s="5">
        <v>45343</v>
      </c>
      <c r="E176" s="9" t="str">
        <f>HYPERLINK("https://www8.mpce.mp.br/Empenhos/150001/Objeto/63-2019.pdf","EMPENHO DE LOCAÇÃO DE IMÓVEIS ONDE FUNCIONAM AS PROMOTORIAS DE JUSTIÇA DE JUAZEIRO DO NORTE, CONTRATO 063/2019/PGJ REFERENTE AOS MESES DE FEV E MARÇO DE 2024.")</f>
        <v>EMPENHO DE LOCAÇÃO DE IMÓVEIS ONDE FUNCIONAM AS PROMOTORIAS DE JUSTIÇA DE JUAZEIRO DO NORTE, CONTRATO 063/2019/PGJ REFERENTE AOS MESES DE FEV E MARÇO DE 2024.</v>
      </c>
      <c r="F176" s="3" t="s">
        <v>172</v>
      </c>
      <c r="G176" s="6" t="str">
        <f>HYPERLINK("http://www8.mpce.mp.br/Empenhos/150501/NE/2024NE000186.pdf","2024NE000186")</f>
        <v>2024NE000186</v>
      </c>
      <c r="H176" s="7">
        <v>2130.3200000000002</v>
      </c>
      <c r="I176" s="8" t="s">
        <v>177</v>
      </c>
      <c r="J176" s="12" t="s">
        <v>178</v>
      </c>
    </row>
    <row r="177" spans="1:10" ht="38.25" x14ac:dyDescent="0.25">
      <c r="A177" s="2" t="s">
        <v>45</v>
      </c>
      <c r="B177" s="3" t="s">
        <v>142</v>
      </c>
      <c r="C177" s="4" t="str">
        <f>HYPERLINK("http://www8.mpce.mp.br/Dispensa/1291020194.pdf","12910/2019-4")</f>
        <v>12910/2019-4</v>
      </c>
      <c r="D177" s="5">
        <v>45343</v>
      </c>
      <c r="E177" s="9" t="str">
        <f>HYPERLINK("https://www8.mpce.mp.br/Empenhos/150001/Objeto/39-2019.pdf","LOCAÇÃO DE IMÓVEIS ONDE FUNCIONAM AS PROMOTORIAS DA INFÂNCIA E JUVENTUDE, CONTRATO 039/2019/PGJ REFERENTE AO MES DE FEV E MAR/2024 - POR ESTIMATIVA")</f>
        <v>LOCAÇÃO DE IMÓVEIS ONDE FUNCIONAM AS PROMOTORIAS DA INFÂNCIA E JUVENTUDE, CONTRATO 039/2019/PGJ REFERENTE AO MES DE FEV E MAR/2024 - POR ESTIMATIVA</v>
      </c>
      <c r="F177" s="3" t="s">
        <v>127</v>
      </c>
      <c r="G177" s="6" t="str">
        <f>HYPERLINK("http://www8.mpce.mp.br/Empenhos/150501/NE/2024NE000187.pdf","2024NE000187")</f>
        <v>2024NE000187</v>
      </c>
      <c r="H177" s="7">
        <v>8856.06</v>
      </c>
      <c r="I177" s="8" t="s">
        <v>159</v>
      </c>
      <c r="J177" s="12" t="s">
        <v>160</v>
      </c>
    </row>
    <row r="178" spans="1:10" ht="51" x14ac:dyDescent="0.25">
      <c r="A178" s="2" t="s">
        <v>45</v>
      </c>
      <c r="B178" s="3" t="s">
        <v>309</v>
      </c>
      <c r="C178" s="4" t="str">
        <f>HYPERLINK("http://www8.mpce.mp.br/Dispensa/2330020195.pdf","23300/2019-5")</f>
        <v>23300/2019-5</v>
      </c>
      <c r="D178" s="5">
        <v>45343</v>
      </c>
      <c r="E178" s="9" t="str">
        <f>HYPERLINK("https://www8.mpce.mp.br/Empenhos/150001/Objeto/61-2019.pdf","EMPENHO DE LOCAÇÃO DE IMÓVEIS ONDE FUNCIONAM AS PROMOTORIAS DE JUSTIÇA DE ACARAÚ, CONTRATO 061/2019/PGJ REFERENTE AOS MESES DE FEV E MARÇO DE 2024.")</f>
        <v>EMPENHO DE LOCAÇÃO DE IMÓVEIS ONDE FUNCIONAM AS PROMOTORIAS DE JUSTIÇA DE ACARAÚ, CONTRATO 061/2019/PGJ REFERENTE AOS MESES DE FEV E MARÇO DE 2024.</v>
      </c>
      <c r="F178" s="3" t="s">
        <v>172</v>
      </c>
      <c r="G178" s="6" t="str">
        <f>HYPERLINK("http://www8.mpce.mp.br/Empenhos/150501/NE/2024NE000188.pdf","2024NE000188")</f>
        <v>2024NE000188</v>
      </c>
      <c r="H178" s="7">
        <v>2800</v>
      </c>
      <c r="I178" s="8" t="s">
        <v>184</v>
      </c>
      <c r="J178" s="12" t="s">
        <v>185</v>
      </c>
    </row>
    <row r="179" spans="1:10" ht="51" x14ac:dyDescent="0.25">
      <c r="A179" s="2" t="s">
        <v>45</v>
      </c>
      <c r="B179" s="3" t="s">
        <v>310</v>
      </c>
      <c r="C179" s="4" t="str">
        <f>HYPERLINK("http://www8.mpce.mp.br/Dispensa/4503020176.pdf","45030/2017-6")</f>
        <v>45030/2017-6</v>
      </c>
      <c r="D179" s="5">
        <v>45343</v>
      </c>
      <c r="E179" s="9" t="str">
        <f>HYPERLINK("https://www8.mpce.mp.br/Empenhos/150001/Objeto/74-2019.pdf","EMPENHO DE LOCAÇÃO DE IMÓVEL ONDE FUNCIONA A PROMOTORIA DE JUSTIÇA DE GRANJA-CE, REFERENTE AO CONTRATO 074/2019 E RELATIVO AOS MESES DE FEV E MARÇO DE 2024.")</f>
        <v>EMPENHO DE LOCAÇÃO DE IMÓVEL ONDE FUNCIONA A PROMOTORIA DE JUSTIÇA DE GRANJA-CE, REFERENTE AO CONTRATO 074/2019 E RELATIVO AOS MESES DE FEV E MARÇO DE 2024.</v>
      </c>
      <c r="F179" s="3" t="s">
        <v>172</v>
      </c>
      <c r="G179" s="6" t="str">
        <f>HYPERLINK("http://www8.mpce.mp.br/Empenhos/150501/NE/2024NE000189.pdf","2024NE000189")</f>
        <v>2024NE000189</v>
      </c>
      <c r="H179" s="7">
        <v>4376.0200000000004</v>
      </c>
      <c r="I179" s="8" t="s">
        <v>247</v>
      </c>
      <c r="J179" s="12" t="s">
        <v>248</v>
      </c>
    </row>
    <row r="180" spans="1:10" ht="51" x14ac:dyDescent="0.25">
      <c r="A180" s="2" t="s">
        <v>45</v>
      </c>
      <c r="B180" s="3" t="s">
        <v>311</v>
      </c>
      <c r="C180" s="4" t="str">
        <f>HYPERLINK("http://www8.mpce.mp.br/Dispensa/1955220197.pdf","19552/2019-7")</f>
        <v>19552/2019-7</v>
      </c>
      <c r="D180" s="5">
        <v>45343</v>
      </c>
      <c r="E180" s="9" t="str">
        <f>HYPERLINK("https://www8.mpce.mp.br/Empenhos/150001/Objeto/85-2019.pdf","EMPENHO DE LOCAÇÃO DE IMÓVEL ONDE FUNCIONA AS PROMOTORIAS DE JUSTIÇA DE PARAIPABA REFERENTE AOS MESES DE FEV E MARÇO/2024, CONFORME CONTRATO 85/2019")</f>
        <v>EMPENHO DE LOCAÇÃO DE IMÓVEL ONDE FUNCIONA AS PROMOTORIAS DE JUSTIÇA DE PARAIPABA REFERENTE AOS MESES DE FEV E MARÇO/2024, CONFORME CONTRATO 85/2019</v>
      </c>
      <c r="F180" s="3" t="s">
        <v>172</v>
      </c>
      <c r="G180" s="6" t="str">
        <f>HYPERLINK("http://www8.mpce.mp.br/Empenhos/150501/NE/2024NE000190.pdf","2024NE000190")</f>
        <v>2024NE000190</v>
      </c>
      <c r="H180" s="7">
        <v>2613.4</v>
      </c>
      <c r="I180" s="8" t="s">
        <v>197</v>
      </c>
      <c r="J180" s="12" t="s">
        <v>198</v>
      </c>
    </row>
    <row r="181" spans="1:10" ht="38.25" x14ac:dyDescent="0.25">
      <c r="A181" s="2" t="s">
        <v>45</v>
      </c>
      <c r="B181" s="3" t="s">
        <v>312</v>
      </c>
      <c r="C181" s="4" t="str">
        <f>HYPERLINK("https://transparencia-area-fim.mpce.mp.br/#/consulta/processo/pastadigital/092024000041037","09.2024.00004103-7")</f>
        <v>09.2024.00004103-7</v>
      </c>
      <c r="D181" s="5">
        <v>45337</v>
      </c>
      <c r="E181" s="9" t="s">
        <v>313</v>
      </c>
      <c r="F181" s="3" t="s">
        <v>314</v>
      </c>
      <c r="G181" s="6" t="str">
        <f>HYPERLINK("http://www8.mpce.mp.br/Empenhos/150001/NE/2024NE000191.pdf","2024NE000191")</f>
        <v>2024NE000191</v>
      </c>
      <c r="H181" s="7">
        <v>937500</v>
      </c>
      <c r="I181" s="8" t="s">
        <v>315</v>
      </c>
      <c r="J181" s="12" t="s">
        <v>316</v>
      </c>
    </row>
    <row r="182" spans="1:10" ht="38.25" x14ac:dyDescent="0.25">
      <c r="A182" s="2" t="s">
        <v>45</v>
      </c>
      <c r="B182" s="3" t="s">
        <v>317</v>
      </c>
      <c r="C182" s="4" t="str">
        <f>HYPERLINK("https://transparencia-area-fim.mpce.mp.br/#/consulta/processo/pastadigital/092021000121226","09.2021.00012122-6")</f>
        <v>09.2021.00012122-6</v>
      </c>
      <c r="D182" s="5">
        <v>45343</v>
      </c>
      <c r="E182" s="9" t="str">
        <f>HYPERLINK("https://www8.mpce.mp.br/Empenhos/150001/Objeto/34-2021.pdf","LOCAÇÃO DE IMÓVEIS ONDE FUNCIONAM AS PROMOTORIAS DE JUSTIÇA DE SÃO BENEDITO, CONTRATO 034/2021/PGJ REFERENTE AOS MESES DE FEV E MARÇO DE 2024.")</f>
        <v>LOCAÇÃO DE IMÓVEIS ONDE FUNCIONAM AS PROMOTORIAS DE JUSTIÇA DE SÃO BENEDITO, CONTRATO 034/2021/PGJ REFERENTE AOS MESES DE FEV E MARÇO DE 2024.</v>
      </c>
      <c r="F182" s="3" t="s">
        <v>172</v>
      </c>
      <c r="G182" s="6" t="str">
        <f>HYPERLINK("http://www8.mpce.mp.br/Empenhos/150501/NE/2024NE000191.pdf","2024NE000191")</f>
        <v>2024NE000191</v>
      </c>
      <c r="H182" s="7">
        <v>5646.54</v>
      </c>
      <c r="I182" s="8" t="s">
        <v>204</v>
      </c>
      <c r="J182" s="12" t="s">
        <v>205</v>
      </c>
    </row>
    <row r="183" spans="1:10" ht="38.25" x14ac:dyDescent="0.25">
      <c r="A183" s="2" t="s">
        <v>45</v>
      </c>
      <c r="B183" s="3" t="s">
        <v>318</v>
      </c>
      <c r="C183" s="4" t="str">
        <f>HYPERLINK("http://www8.mpce.mp.br/Dispensa/3642820165.pdf","36428/2016-5")</f>
        <v>36428/2016-5</v>
      </c>
      <c r="D183" s="5">
        <v>45343</v>
      </c>
      <c r="E183" s="9" t="str">
        <f>HYPERLINK("https://www8.mpce.mp.br/Empenhos/150001/Objeto/26-2017.pdf","LOCAÇÃO DE IMÓVEIS ONDE FUNCIONAM AS PROMOTORIAS DE JUSTIÇA DE MARANGUAPE, CONTRATO 026/2017/PGJ REFERENTE AOS MESES DE FEV E MARÇO DE 2024.")</f>
        <v>LOCAÇÃO DE IMÓVEIS ONDE FUNCIONAM AS PROMOTORIAS DE JUSTIÇA DE MARANGUAPE, CONTRATO 026/2017/PGJ REFERENTE AOS MESES DE FEV E MARÇO DE 2024.</v>
      </c>
      <c r="F183" s="3" t="s">
        <v>172</v>
      </c>
      <c r="G183" s="6" t="str">
        <f>HYPERLINK("http://www8.mpce.mp.br/Empenhos/150501/NE/2024NE000192.pdf","2024NE000192")</f>
        <v>2024NE000192</v>
      </c>
      <c r="H183" s="7">
        <v>9655.16</v>
      </c>
      <c r="I183" s="8" t="s">
        <v>216</v>
      </c>
      <c r="J183" s="12" t="s">
        <v>217</v>
      </c>
    </row>
    <row r="184" spans="1:10" ht="51" x14ac:dyDescent="0.25">
      <c r="A184" s="2" t="s">
        <v>45</v>
      </c>
      <c r="B184" s="3" t="s">
        <v>319</v>
      </c>
      <c r="C184" s="4" t="str">
        <f>HYPERLINK("https://transparencia-area-fim.mpce.mp.br/#/consulta/processo/pastadigital/092022000110511","09.2022.00011051-1")</f>
        <v>09.2022.00011051-1</v>
      </c>
      <c r="D184" s="5">
        <v>45343</v>
      </c>
      <c r="E184" s="9" t="str">
        <f>HYPERLINK("https://www8.mpce.mp.br/Empenhos/150001/Objeto/38-2022.pdf","LOCAÇÃO DE IMÓVEL ONDE FUNCIONAM AS PROMOTORIAS DE NOVA OLINDA, CONFORME CONTRATO 038/2022,REFERENTE AOS MESES DE FEV E MARÇO DE 2024.")</f>
        <v>LOCAÇÃO DE IMÓVEL ONDE FUNCIONAM AS PROMOTORIAS DE NOVA OLINDA, CONFORME CONTRATO 038/2022,REFERENTE AOS MESES DE FEV E MARÇO DE 2024.</v>
      </c>
      <c r="F184" s="3" t="s">
        <v>172</v>
      </c>
      <c r="G184" s="6" t="str">
        <f>HYPERLINK("http://www8.mpce.mp.br/Empenhos/150501/NE/2024NE000193.pdf","2024NE000193")</f>
        <v>2024NE000193</v>
      </c>
      <c r="H184" s="7">
        <v>4000</v>
      </c>
      <c r="I184" s="8" t="s">
        <v>240</v>
      </c>
      <c r="J184" s="12" t="s">
        <v>241</v>
      </c>
    </row>
    <row r="185" spans="1:10" ht="38.25" x14ac:dyDescent="0.25">
      <c r="A185" s="2" t="s">
        <v>20</v>
      </c>
      <c r="B185" s="3" t="s">
        <v>320</v>
      </c>
      <c r="C185" s="4" t="str">
        <f>HYPERLINK("https://transparencia-area-fim.mpce.mp.br/#/consulta/processo/pastadigital/092022000083885","09.2022.00008388-5")</f>
        <v>09.2022.00008388-5</v>
      </c>
      <c r="D185" s="5">
        <v>45343</v>
      </c>
      <c r="E185" s="9" t="str">
        <f>HYPERLINK("https://www8.mpce.mp.br/Empenhos/150001/Objeto/36-2023.pdf","LOCAÇÃO DE IMÓVEIS ONDE FUNCIONAM AS PROMOTORIAS DE JUSTIÇA DE SOLONÓPOLE, CONTRATO 036/2023/PGJ REFERENTE AOS MESES DE FEV E MARÇO DE 2024.")</f>
        <v>LOCAÇÃO DE IMÓVEIS ONDE FUNCIONAM AS PROMOTORIAS DE JUSTIÇA DE SOLONÓPOLE, CONTRATO 036/2023/PGJ REFERENTE AOS MESES DE FEV E MARÇO DE 2024.</v>
      </c>
      <c r="F185" s="3" t="s">
        <v>172</v>
      </c>
      <c r="G185" s="6" t="str">
        <f>HYPERLINK("http://www8.mpce.mp.br/Empenhos/150501/NE/2024NE000194.pdf","2024NE000194")</f>
        <v>2024NE000194</v>
      </c>
      <c r="H185" s="7">
        <v>7794.48</v>
      </c>
      <c r="I185" s="8" t="s">
        <v>199</v>
      </c>
      <c r="J185" s="12" t="s">
        <v>200</v>
      </c>
    </row>
    <row r="186" spans="1:10" ht="51" x14ac:dyDescent="0.25">
      <c r="A186" s="2" t="s">
        <v>20</v>
      </c>
      <c r="B186" s="3" t="s">
        <v>321</v>
      </c>
      <c r="C186" s="4" t="str">
        <f>HYPERLINK("https://transparencia-area-fim.mpce.mp.br/#/consulta/processo/pastadigital/092022000409094","09.2022.00040909-4")</f>
        <v>09.2022.00040909-4</v>
      </c>
      <c r="D186" s="5">
        <v>45343</v>
      </c>
      <c r="E186" s="9" t="str">
        <f>HYPERLINK("https://www8.mpce.mp.br/Empenhos/150001/Objeto/41-2023.pdf","LOCAÇÃO DE IMÓVEIS ONDE FUNCIONAM AS PROMOTORIAS DE JUSTIÇA DE GUARACIABA DO NORTE, CONTRATO 041/2023/PGJ REFERENTE AOS MESES DE FEV E MARÇO DE 2024.")</f>
        <v>LOCAÇÃO DE IMÓVEIS ONDE FUNCIONAM AS PROMOTORIAS DE JUSTIÇA DE GUARACIABA DO NORTE, CONTRATO 041/2023/PGJ REFERENTE AOS MESES DE FEV E MARÇO DE 2024.</v>
      </c>
      <c r="F186" s="3" t="s">
        <v>172</v>
      </c>
      <c r="G186" s="6" t="str">
        <f>HYPERLINK("http://www8.mpce.mp.br/Empenhos/150501/NE/2024NE000195.pdf","2024NE000195")</f>
        <v>2024NE000195</v>
      </c>
      <c r="H186" s="7">
        <v>3100</v>
      </c>
      <c r="I186" s="8" t="s">
        <v>195</v>
      </c>
      <c r="J186" s="12" t="s">
        <v>196</v>
      </c>
    </row>
    <row r="187" spans="1:10" ht="38.25" x14ac:dyDescent="0.25">
      <c r="A187" s="2" t="s">
        <v>45</v>
      </c>
      <c r="B187" s="3" t="s">
        <v>322</v>
      </c>
      <c r="C187" s="4" t="str">
        <f>HYPERLINK("https://transparencia-area-fim.mpce.mp.br/#/consulta/processo/pastadigital/092021000166790","09.2021.00016679-0")</f>
        <v>09.2021.00016679-0</v>
      </c>
      <c r="D187" s="5">
        <v>45343</v>
      </c>
      <c r="E187" s="9" t="str">
        <f>HYPERLINK("https://www8.mpce.mp.br/Empenhos/150001/Objeto/24-2022.pdf","LOCAÇÃO DE IMÓVEIS ONDE FUNCIONAM AS PROMOTORIAS DE JUSTIÇA DE HORIZONTE, CONTRATO 024/2022/PGJ REFERENTE AOS MESES DE FEV E MARÇO DE 2024.")</f>
        <v>LOCAÇÃO DE IMÓVEIS ONDE FUNCIONAM AS PROMOTORIAS DE JUSTIÇA DE HORIZONTE, CONTRATO 024/2022/PGJ REFERENTE AOS MESES DE FEV E MARÇO DE 2024.</v>
      </c>
      <c r="F187" s="3" t="s">
        <v>172</v>
      </c>
      <c r="G187" s="6" t="str">
        <f>HYPERLINK("http://www8.mpce.mp.br/Empenhos/150501/NE/2024NE000196.pdf","2024NE000196")</f>
        <v>2024NE000196</v>
      </c>
      <c r="H187" s="7">
        <v>4800</v>
      </c>
      <c r="I187" s="8" t="s">
        <v>220</v>
      </c>
      <c r="J187" s="12" t="s">
        <v>221</v>
      </c>
    </row>
    <row r="188" spans="1:10" ht="38.25" x14ac:dyDescent="0.25">
      <c r="A188" s="2" t="s">
        <v>45</v>
      </c>
      <c r="B188" s="3" t="s">
        <v>323</v>
      </c>
      <c r="C188" s="4" t="str">
        <f>HYPERLINK("https://transparencia-area-fim.mpce.mp.br/#/consulta/processo/pastadigital/092021000219739","09.2021.00021973-9")</f>
        <v>09.2021.00021973-9</v>
      </c>
      <c r="D188" s="5">
        <v>45344</v>
      </c>
      <c r="E188" s="9" t="str">
        <f>HYPERLINK("https://www8.mpce.mp.br/Empenhos/150001/Objeto/45-2021.pdf","LOCAÇÃO DE IMÓVEIS ONDE FUNCIONAM AS PROMOTORIAS DE JUSTIÇA DE EUSÉBIO, CONTRATO 045/2021/PGJ REFERENTE AO MES DE FEV E MAR/2024 - POR ESTIMATIVA")</f>
        <v>LOCAÇÃO DE IMÓVEIS ONDE FUNCIONAM AS PROMOTORIAS DE JUSTIÇA DE EUSÉBIO, CONTRATO 045/2021/PGJ REFERENTE AO MES DE FEV E MAR/2024 - POR ESTIMATIVA</v>
      </c>
      <c r="F188" s="3" t="s">
        <v>127</v>
      </c>
      <c r="G188" s="6" t="str">
        <f>HYPERLINK("http://www8.mpce.mp.br/Empenhos/150501/NE/2024NE000203.pdf","2024NE000203")</f>
        <v>2024NE000203</v>
      </c>
      <c r="H188" s="7">
        <v>3280.7</v>
      </c>
      <c r="I188" s="8" t="s">
        <v>155</v>
      </c>
      <c r="J188" s="12" t="s">
        <v>156</v>
      </c>
    </row>
    <row r="189" spans="1:10" ht="38.25" x14ac:dyDescent="0.25">
      <c r="A189" s="2" t="s">
        <v>45</v>
      </c>
      <c r="B189" s="3" t="s">
        <v>324</v>
      </c>
      <c r="C189" s="4" t="str">
        <f>HYPERLINK("http://www8.mpce.mp.br/Dispensa/842220170.pdf","8422/20170")</f>
        <v>8422/20170</v>
      </c>
      <c r="D189" s="5">
        <v>45344</v>
      </c>
      <c r="E189" s="9" t="str">
        <f>HYPERLINK("https://www8.mpce.mp.br/Empenhos/150001/Objeto/16-2017.pdf","EMPENHO DE TAXA MUNICIPAL DE RESÍDUOS SÓLIDOS URBANOS DAS PROMOTORIAS CRIMINAIS - TMRSU REFERENTE A 1ª PARCELA CONTRATO 016/2017")</f>
        <v>EMPENHO DE TAXA MUNICIPAL DE RESÍDUOS SÓLIDOS URBANOS DAS PROMOTORIAS CRIMINAIS - TMRSU REFERENTE A 1ª PARCELA CONTRATO 016/2017</v>
      </c>
      <c r="F189" s="3" t="s">
        <v>325</v>
      </c>
      <c r="G189" s="6" t="str">
        <f>HYPERLINK("http://www8.mpce.mp.br/Empenhos/150501/NE/2024NE000204.pdf","2024NE000204")</f>
        <v>2024NE000204</v>
      </c>
      <c r="H189" s="7">
        <v>152.4</v>
      </c>
      <c r="I189" s="8" t="s">
        <v>169</v>
      </c>
      <c r="J189" s="12" t="s">
        <v>170</v>
      </c>
    </row>
    <row r="190" spans="1:10" ht="38.25" x14ac:dyDescent="0.25">
      <c r="A190" s="2" t="s">
        <v>45</v>
      </c>
      <c r="B190" s="3" t="s">
        <v>324</v>
      </c>
      <c r="C190" s="4" t="str">
        <f>HYPERLINK("http://www8.mpce.mp.br/Dispensa/842220170.pdf","8422/20170")</f>
        <v>8422/20170</v>
      </c>
      <c r="D190" s="5">
        <v>45344</v>
      </c>
      <c r="E190" s="9" t="str">
        <f>HYPERLINK("https://www8.mpce.mp.br/Empenhos/150001/Objeto/16-2017.pdf","EMPENHO REFERENTE A 1º PARCELA DO IPTU DAS PROMOTORIAS DE JUSTIÇA CRIMINAIS DA COMARCA DE FORTALEZA - CT 016/2017 ")</f>
        <v xml:space="preserve">EMPENHO REFERENTE A 1º PARCELA DO IPTU DAS PROMOTORIAS DE JUSTIÇA CRIMINAIS DA COMARCA DE FORTALEZA - CT 016/2017 </v>
      </c>
      <c r="F190" s="3" t="s">
        <v>264</v>
      </c>
      <c r="G190" s="6" t="str">
        <f>HYPERLINK("http://www8.mpce.mp.br/Empenhos/150501/NE/2024NE000205.pdf","2024NE000205")</f>
        <v>2024NE000205</v>
      </c>
      <c r="H190" s="7">
        <v>2619.0100000000002</v>
      </c>
      <c r="I190" s="8" t="s">
        <v>169</v>
      </c>
      <c r="J190" s="12" t="s">
        <v>170</v>
      </c>
    </row>
    <row r="191" spans="1:10" ht="63.75" x14ac:dyDescent="0.25">
      <c r="A191" s="2" t="s">
        <v>45</v>
      </c>
      <c r="B191" s="3" t="s">
        <v>326</v>
      </c>
      <c r="C191" s="4" t="str">
        <f>HYPERLINK("http://www8.mpce.mp.br/Dispensa/4793720162.pdf","4793720162")</f>
        <v>4793720162</v>
      </c>
      <c r="D191" s="5">
        <v>45345</v>
      </c>
      <c r="E191" s="9" t="str">
        <f>HYPERLINK("https://www8.mpce.mp.br/Empenhos/150001/Objeto/14-2017.pdf","EMPENHO DE COTA ÚNICA DE TAXA MUNICIPAL DE RESÍDUOS SÓLIDOS URBANOS  TMRSU - 2024, REF. AO IMÓVEL ONDE FUNCIONA O GALPÃO DE ALMOXARIFADO  RUA NENZINHA PARENTE, 610, BAIRRO JANGURUSSU, CONF. CONTRATO Nº 014/2017/PGJ.")</f>
        <v>EMPENHO DE COTA ÚNICA DE TAXA MUNICIPAL DE RESÍDUOS SÓLIDOS URBANOS  TMRSU - 2024, REF. AO IMÓVEL ONDE FUNCIONA O GALPÃO DE ALMOXARIFADO  RUA NENZINHA PARENTE, 610, BAIRRO JANGURUSSU, CONF. CONTRATO Nº 014/2017/PGJ.</v>
      </c>
      <c r="F191" s="3" t="s">
        <v>264</v>
      </c>
      <c r="G191" s="6" t="str">
        <f>HYPERLINK("http://www8.mpce.mp.br/Empenhos/150501/NE/2024NE000207.pdf","2024NE000207")</f>
        <v>2024NE000207</v>
      </c>
      <c r="H191" s="7">
        <v>1508.04</v>
      </c>
      <c r="I191" s="8" t="s">
        <v>164</v>
      </c>
      <c r="J191" s="12" t="s">
        <v>165</v>
      </c>
    </row>
    <row r="192" spans="1:10" ht="51" x14ac:dyDescent="0.25">
      <c r="A192" s="2" t="s">
        <v>45</v>
      </c>
      <c r="B192" s="3" t="s">
        <v>326</v>
      </c>
      <c r="C192" s="4" t="str">
        <f>HYPERLINK("http://www8.mpce.mp.br/Dispensa/4793720162.pdf","4793720162")</f>
        <v>4793720162</v>
      </c>
      <c r="D192" s="5">
        <v>45348</v>
      </c>
      <c r="E192" s="9" t="str">
        <f>HYPERLINK("https://www8.mpce.mp.br/Empenhos/150001/Objeto/14-2017.pdf","EMPENHO DE IPTU/2024  PARCELA ÚNICA, REF. À GALPÃO DE ALMOXARIFADO LOCALIZADO À RUA NENZINHA PARENTE, 610, BAIRRO JANGURUSSU, CONF. CONTRATO Nº 014/2017/PGJ.")</f>
        <v>EMPENHO DE IPTU/2024  PARCELA ÚNICA, REF. À GALPÃO DE ALMOXARIFADO LOCALIZADO À RUA NENZINHA PARENTE, 610, BAIRRO JANGURUSSU, CONF. CONTRATO Nº 014/2017/PGJ.</v>
      </c>
      <c r="F192" s="3" t="s">
        <v>264</v>
      </c>
      <c r="G192" s="6" t="str">
        <f>HYPERLINK("http://www8.mpce.mp.br/Empenhos/150501/NE/2024NE000208.pdf","2024NE000208")</f>
        <v>2024NE000208</v>
      </c>
      <c r="H192" s="7">
        <v>6257.88</v>
      </c>
      <c r="I192" s="8" t="s">
        <v>164</v>
      </c>
      <c r="J192" s="12" t="s">
        <v>165</v>
      </c>
    </row>
    <row r="193" spans="1:10" ht="38.25" x14ac:dyDescent="0.25">
      <c r="A193" s="2" t="s">
        <v>45</v>
      </c>
      <c r="B193" s="3" t="s">
        <v>327</v>
      </c>
      <c r="C193" s="4" t="str">
        <f>HYPERLINK("https://transparencia-area-fim.mpce.mp.br/#/consulta/processo/pastadigital/092021000079244","09.2021.00007924-4")</f>
        <v>09.2021.00007924-4</v>
      </c>
      <c r="D193" s="5">
        <v>45349</v>
      </c>
      <c r="E193" s="9" t="str">
        <f>HYPERLINK("https://www8.mpce.mp.br/Empenhos/150001/Objeto/27-2021.pdf","LOCAÇÃO DE IMÓVEL ONDE FUNCIONAM AS PROMOTORIAD DE EUSÉBIO-CE, REF AOS MESES DE JANEIRO E FEVEREWIRO/2024.CONTRATO 27/2021 POR ESTIMATIVA.")</f>
        <v>LOCAÇÃO DE IMÓVEL ONDE FUNCIONAM AS PROMOTORIAD DE EUSÉBIO-CE, REF AOS MESES DE JANEIRO E FEVEREWIRO/2024.CONTRATO 27/2021 POR ESTIMATIVA.</v>
      </c>
      <c r="F193" s="3" t="s">
        <v>127</v>
      </c>
      <c r="G193" s="6" t="str">
        <f>HYPERLINK("http://www8.mpce.mp.br/Empenhos/150501/NE/2024NE000212.pdf","2024NE000212")</f>
        <v>2024NE000212</v>
      </c>
      <c r="H193" s="7">
        <v>11092.2</v>
      </c>
      <c r="I193" s="8" t="s">
        <v>155</v>
      </c>
      <c r="J193" s="12" t="s">
        <v>156</v>
      </c>
    </row>
    <row r="194" spans="1:10" ht="63.75" x14ac:dyDescent="0.25">
      <c r="A194" s="2" t="s">
        <v>45</v>
      </c>
      <c r="B194" s="3" t="s">
        <v>328</v>
      </c>
      <c r="C194" s="4" t="str">
        <f>HYPERLINK("https://transparencia-area-fim.mpce.mp.br/#/consulta/processo/pastadigital/092024000039809","09.2024.00003980-9")</f>
        <v>09.2024.00003980-9</v>
      </c>
      <c r="D194" s="5">
        <v>45365</v>
      </c>
      <c r="E194" s="9" t="s">
        <v>329</v>
      </c>
      <c r="F194" s="3" t="s">
        <v>262</v>
      </c>
      <c r="G194" s="6" t="str">
        <f>HYPERLINK("http://www8.mpce.mp.br/Empenhos/150501/NE/2024NE000213.pdf","2024NE000213")</f>
        <v>2024NE000213</v>
      </c>
      <c r="H194" s="7">
        <v>720350</v>
      </c>
      <c r="I194" s="8" t="s">
        <v>255</v>
      </c>
      <c r="J194" s="12" t="s">
        <v>256</v>
      </c>
    </row>
    <row r="195" spans="1:10" ht="51" x14ac:dyDescent="0.25">
      <c r="A195" s="2" t="s">
        <v>20</v>
      </c>
      <c r="B195" s="3" t="s">
        <v>330</v>
      </c>
      <c r="C195" s="4" t="str">
        <f>HYPERLINK("https://transparencia-area-fim.mpce.mp.br/#/consulta/processo/pastadigital/092023000293915","09.2023.00029391-5")</f>
        <v>09.2023.00029391-5</v>
      </c>
      <c r="D195" s="5">
        <v>45350</v>
      </c>
      <c r="E195" s="9" t="str">
        <f>HYPERLINK("https://www8.mpce.mp.br/Empenhos/150001/Objeto/54-2023.pdf","REEMBOLSO DE IPTU DO IMÓVEL SITUADO NA RUA NENZINHA PARENTE, 590 - JANGURUSSU, FORTALEZA-CE, ONDE FUNCIONA O GALPÃO DO ALMOXARIFADO DA PGJ, CONF. CONTRATO 054/2023, REF. 2024-PARCELA ÚNICA.")</f>
        <v>REEMBOLSO DE IPTU DO IMÓVEL SITUADO NA RUA NENZINHA PARENTE, 590 - JANGURUSSU, FORTALEZA-CE, ONDE FUNCIONA O GALPÃO DO ALMOXARIFADO DA PGJ, CONF. CONTRATO 054/2023, REF. 2024-PARCELA ÚNICA.</v>
      </c>
      <c r="F195" s="3" t="s">
        <v>127</v>
      </c>
      <c r="G195" s="6" t="str">
        <f>HYPERLINK("http://www8.mpce.mp.br/Empenhos/150501/NE/2024NE000217.pdf","2024NE000217")</f>
        <v>2024NE000217</v>
      </c>
      <c r="H195" s="7">
        <v>3909.78</v>
      </c>
      <c r="I195" s="8" t="s">
        <v>164</v>
      </c>
      <c r="J195" s="12" t="s">
        <v>165</v>
      </c>
    </row>
    <row r="196" spans="1:10" ht="38.25" x14ac:dyDescent="0.25">
      <c r="A196" s="2" t="s">
        <v>45</v>
      </c>
      <c r="B196" s="3" t="s">
        <v>331</v>
      </c>
      <c r="C196" s="4" t="str">
        <f>HYPERLINK("https://transparencia-area-fim.mpce.mp.br/#/consulta/processo/pastadigital/092023000165633","09.2023.00016563-3")</f>
        <v>09.2023.00016563-3</v>
      </c>
      <c r="D196" s="5">
        <v>45350</v>
      </c>
      <c r="E196" s="9" t="s">
        <v>332</v>
      </c>
      <c r="F196" s="3" t="s">
        <v>333</v>
      </c>
      <c r="G196" s="6" t="str">
        <f>HYPERLINK("http://www8.mpce.mp.br/Empenhos/150501/NE/2024NE000218.pdf","2024NE000218")</f>
        <v>2024NE000218</v>
      </c>
      <c r="H196" s="7">
        <v>8780</v>
      </c>
      <c r="I196" s="8" t="s">
        <v>334</v>
      </c>
      <c r="J196" s="12" t="s">
        <v>335</v>
      </c>
    </row>
    <row r="197" spans="1:10" ht="38.25" x14ac:dyDescent="0.25">
      <c r="A197" s="2" t="s">
        <v>45</v>
      </c>
      <c r="B197" s="3" t="s">
        <v>201</v>
      </c>
      <c r="C197" s="4" t="str">
        <f>HYPERLINK("https://transparencia-area-fim.mpce.mp.br/#/consulta/processo/pastadigital/092022000343795","09.2022.00034379-5")</f>
        <v>09.2022.00034379-5</v>
      </c>
      <c r="D197" s="5">
        <v>45351</v>
      </c>
      <c r="E197" s="9" t="str">
        <f>HYPERLINK("https://www8.mpce.mp.br/Empenhos/150001/Objeto/25-2023.pdf","LOCAÇÃO DE IMÓVEL ONDE FUNCIONAM AS PROMOTORIAS DE COMARCA DE CANINDÉ-CE, CONF. CONTRATO 025/2023, REF. FEV E MAR/2024, POR ESTIMATIVA.")</f>
        <v>LOCAÇÃO DE IMÓVEL ONDE FUNCIONAM AS PROMOTORIAS DE COMARCA DE CANINDÉ-CE, CONF. CONTRATO 025/2023, REF. FEV E MAR/2024, POR ESTIMATIVA.</v>
      </c>
      <c r="F197" s="3" t="s">
        <v>127</v>
      </c>
      <c r="G197" s="6" t="str">
        <f>HYPERLINK("http://www8.mpce.mp.br/Empenhos/150501/NE/2024NE000219.pdf","2024NE000219")</f>
        <v>2024NE000219</v>
      </c>
      <c r="H197" s="7">
        <v>28000</v>
      </c>
      <c r="I197" s="8" t="s">
        <v>245</v>
      </c>
      <c r="J197" s="12" t="s">
        <v>246</v>
      </c>
    </row>
    <row r="198" spans="1:10" ht="51" x14ac:dyDescent="0.25">
      <c r="A198" s="2" t="s">
        <v>20</v>
      </c>
      <c r="B198" s="3" t="s">
        <v>298</v>
      </c>
      <c r="C198" s="4" t="str">
        <f>HYPERLINK("https://transparencia-area-fim.mpce.mp.br/#/consulta/processo/pastadigital/092023000214163","09.2023.00021416-3")</f>
        <v>09.2023.00021416-3</v>
      </c>
      <c r="D198" s="5">
        <v>45352</v>
      </c>
      <c r="E198" s="9" t="str">
        <f>HYPERLINK("https://www8.mpce.mp.br/Empenhos/150001/Objeto/56-2023.pdf","REEMBOLSO ATINENTE AO FORNECIMENTO DE ENERGIA ELÉTRICA DO IMÓVEL ONDE FUNCIONA A SEDE DAS PROMOTORIAS DE JUSTIÇA DE BATURITÉ, CONF. CONTRATO 056/2023, REF. AO PERÍODO DE 11/11 A 01/12/2023.")</f>
        <v>REEMBOLSO ATINENTE AO FORNECIMENTO DE ENERGIA ELÉTRICA DO IMÓVEL ONDE FUNCIONA A SEDE DAS PROMOTORIAS DE JUSTIÇA DE BATURITÉ, CONF. CONTRATO 056/2023, REF. AO PERÍODO DE 11/11 A 01/12/2023.</v>
      </c>
      <c r="F198" s="3" t="s">
        <v>236</v>
      </c>
      <c r="G198" s="6" t="str">
        <f>HYPERLINK("http://www8.mpce.mp.br/Empenhos/150501/NE/2024NE000220.pdf","2024NE000220")</f>
        <v>2024NE000220</v>
      </c>
      <c r="H198" s="7">
        <v>599.85</v>
      </c>
      <c r="I198" s="8" t="s">
        <v>167</v>
      </c>
      <c r="J198" s="12" t="s">
        <v>168</v>
      </c>
    </row>
    <row r="199" spans="1:10" ht="38.25" x14ac:dyDescent="0.25">
      <c r="A199" s="2" t="s">
        <v>45</v>
      </c>
      <c r="B199" s="3" t="s">
        <v>336</v>
      </c>
      <c r="C199" s="4" t="str">
        <f>HYPERLINK("https://transparencia-area-fim.mpce.mp.br/#/consulta/processo/pastadigital/092023000156189","09.2023.00015618-9")</f>
        <v>09.2023.00015618-9</v>
      </c>
      <c r="D199" s="5">
        <v>45355</v>
      </c>
      <c r="E199" s="9" t="s">
        <v>337</v>
      </c>
      <c r="F199" s="3" t="s">
        <v>338</v>
      </c>
      <c r="G199" s="6" t="str">
        <f>HYPERLINK("http://www8.mpce.mp.br/Empenhos/150501/NE/2024NE000221.pdf","2024NE000221")</f>
        <v>2024NE000221</v>
      </c>
      <c r="H199" s="7">
        <v>3206</v>
      </c>
      <c r="I199" s="8" t="s">
        <v>339</v>
      </c>
      <c r="J199" s="12" t="s">
        <v>340</v>
      </c>
    </row>
    <row r="200" spans="1:10" ht="38.25" x14ac:dyDescent="0.25">
      <c r="A200" s="2" t="s">
        <v>45</v>
      </c>
      <c r="B200" s="3" t="s">
        <v>336</v>
      </c>
      <c r="C200" s="4" t="str">
        <f>HYPERLINK("https://transparencia-area-fim.mpce.mp.br/#/consulta/processo/pastadigital/092023000156189","09.2023.00015618-9")</f>
        <v>09.2023.00015618-9</v>
      </c>
      <c r="D200" s="5">
        <v>45355</v>
      </c>
      <c r="E200" s="9" t="s">
        <v>341</v>
      </c>
      <c r="F200" s="3" t="s">
        <v>338</v>
      </c>
      <c r="G200" s="6" t="str">
        <f>HYPERLINK("http://www8.mpce.mp.br/Empenhos/150501/NE/2024NE000222.pdf","2024NE000222")</f>
        <v>2024NE000222</v>
      </c>
      <c r="H200" s="7">
        <v>1280</v>
      </c>
      <c r="I200" s="8" t="s">
        <v>342</v>
      </c>
      <c r="J200" s="12" t="s">
        <v>343</v>
      </c>
    </row>
    <row r="201" spans="1:10" ht="51" x14ac:dyDescent="0.25">
      <c r="A201" s="2" t="s">
        <v>45</v>
      </c>
      <c r="B201" s="3" t="s">
        <v>147</v>
      </c>
      <c r="C201" s="4" t="str">
        <f>HYPERLINK("https://transparencia-area-fim.mpce.mp.br/#/consulta/processo/pastadigital/092024000041337","09.2024.00004133-7")</f>
        <v>09.2024.00004133-7</v>
      </c>
      <c r="D201" s="5">
        <v>45338</v>
      </c>
      <c r="E201" s="9" t="s">
        <v>344</v>
      </c>
      <c r="F201" s="3" t="s">
        <v>314</v>
      </c>
      <c r="G201" s="6" t="str">
        <f>HYPERLINK("http://www8.mpce.mp.br/Empenhos/150001/NE/2024NE000225.pdf","2024NE000225")</f>
        <v>2024NE000225</v>
      </c>
      <c r="H201" s="7">
        <v>18000</v>
      </c>
      <c r="I201" s="8" t="s">
        <v>315</v>
      </c>
      <c r="J201" s="12" t="s">
        <v>316</v>
      </c>
    </row>
    <row r="202" spans="1:10" ht="63.75" x14ac:dyDescent="0.25">
      <c r="A202" s="2" t="s">
        <v>45</v>
      </c>
      <c r="B202" s="3" t="s">
        <v>345</v>
      </c>
      <c r="C202" s="4" t="str">
        <f>HYPERLINK("http://www8.mpce.mp.br/Dispensa/842220170.pdf","8422/20170")</f>
        <v>8422/20170</v>
      </c>
      <c r="D202" s="5">
        <v>45357</v>
      </c>
      <c r="E202" s="9" t="str">
        <f>HYPERLINK("https://www8.mpce.mp.br/Empenhos/150001/Objeto/16-2017.pdf","EMPENHO DE IPTU REFERENTE A 2ª PARCELA DE 2024, RELATIVO AO IMÓVEL ONDE FUNCIONAM AS PROMOTORIAS DE JUSTIÇA CRIMINAIS, LOCALIZADAS À AV. CEL. JOSÉ FILOMENO GOMES, 222, BAIRRO LUCIANO CAVALCANTE, CONF. CONTRATO Nº 016/2017/PGJ.")</f>
        <v>EMPENHO DE IPTU REFERENTE A 2ª PARCELA DE 2024, RELATIVO AO IMÓVEL ONDE FUNCIONAM AS PROMOTORIAS DE JUSTIÇA CRIMINAIS, LOCALIZADAS À AV. CEL. JOSÉ FILOMENO GOMES, 222, BAIRRO LUCIANO CAVALCANTE, CONF. CONTRATO Nº 016/2017/PGJ.</v>
      </c>
      <c r="F202" s="3" t="s">
        <v>264</v>
      </c>
      <c r="G202" s="6" t="str">
        <f>HYPERLINK("http://www8.mpce.mp.br/Empenhos/150501/NE/2024NE000228.pdf","2024NE000228")</f>
        <v>2024NE000228</v>
      </c>
      <c r="H202" s="7">
        <v>2619.0100000000002</v>
      </c>
      <c r="I202" s="8" t="s">
        <v>169</v>
      </c>
      <c r="J202" s="12" t="s">
        <v>170</v>
      </c>
    </row>
    <row r="203" spans="1:10" ht="89.25" x14ac:dyDescent="0.25">
      <c r="A203" s="2" t="s">
        <v>45</v>
      </c>
      <c r="B203" s="3" t="s">
        <v>346</v>
      </c>
      <c r="C203" s="4" t="str">
        <f>HYPERLINK("http://www8.mpce.mp.br/Dispensa/842220170.pdf","8422/20170")</f>
        <v>8422/20170</v>
      </c>
      <c r="D203" s="5">
        <v>45357</v>
      </c>
      <c r="E203" s="9" t="s">
        <v>347</v>
      </c>
      <c r="F203" s="3" t="s">
        <v>264</v>
      </c>
      <c r="G203" s="6" t="str">
        <f>HYPERLINK("http://www8.mpce.mp.br/Empenhos/150501/NE/2024NE000229.pdf","2024NE000229")</f>
        <v>2024NE000229</v>
      </c>
      <c r="H203" s="7">
        <v>152.32</v>
      </c>
      <c r="I203" s="8" t="s">
        <v>169</v>
      </c>
      <c r="J203" s="12" t="s">
        <v>170</v>
      </c>
    </row>
    <row r="204" spans="1:10" ht="51" x14ac:dyDescent="0.25">
      <c r="A204" s="2" t="s">
        <v>45</v>
      </c>
      <c r="B204" s="3" t="s">
        <v>348</v>
      </c>
      <c r="C204" s="4" t="str">
        <f>HYPERLINK("http://www8.mpce.mp.br/Dispensa/2826420164.pdf","28264/2016-4")</f>
        <v>28264/2016-4</v>
      </c>
      <c r="D204" s="5">
        <v>45357</v>
      </c>
      <c r="E204" s="9" t="str">
        <f>HYPERLINK("https://www8.mpce.mp.br/Empenhos/150001/Objeto/26-2016.pdf","EMPENHO DO ALUGUEL DO MÊS DE ABRIL DE 2024 DO IMÓVEL ONDE FUNCIONAM OS CENTROS DE APOIO OPERACIONAIS E ÓRGÃOS DE INVESTIGAÇÃO, REF. CONTRATO 026/2016/CPL/PGJ.")</f>
        <v>EMPENHO DO ALUGUEL DO MÊS DE ABRIL DE 2024 DO IMÓVEL ONDE FUNCIONAM OS CENTROS DE APOIO OPERACIONAIS E ÓRGÃOS DE INVESTIGAÇÃO, REF. CONTRATO 026/2016/CPL/PGJ.</v>
      </c>
      <c r="F204" s="3" t="s">
        <v>127</v>
      </c>
      <c r="G204" s="6" t="str">
        <f>HYPERLINK("http://www8.mpce.mp.br/Empenhos/150501/NE/2024NE000230.pdf","2024NE000230")</f>
        <v>2024NE000230</v>
      </c>
      <c r="H204" s="7">
        <v>61958.53</v>
      </c>
      <c r="I204" s="8" t="s">
        <v>153</v>
      </c>
      <c r="J204" s="12" t="s">
        <v>154</v>
      </c>
    </row>
    <row r="205" spans="1:10" ht="63.75" x14ac:dyDescent="0.25">
      <c r="A205" s="2" t="s">
        <v>45</v>
      </c>
      <c r="B205" s="3" t="s">
        <v>349</v>
      </c>
      <c r="C205" s="4" t="str">
        <f>HYPERLINK("http://www8.mpce.mp.br/Dispensa/4503020176.pdf","45030/2017-6")</f>
        <v>45030/2017-6</v>
      </c>
      <c r="D205" s="5">
        <v>45358</v>
      </c>
      <c r="E205" s="9" t="str">
        <f>HYPERLINK("https://www8.mpce.mp.br/Empenhos/150001/Objeto/74-2019.pdf","EMPENHO DE IPTU REFERENTE A COTA ÚNICA DE 2024, REF. À IMÓVEL ONDE FUNCIONAM AS PROMOTORIAS DE JUSTIÇA DE GRANJA, LOCALIZADO À RUA 2 DE NOVEMBRO, Nº 664, BAIRRO CENTRO, GRANJA/CE, EM CONSONÂNCIA COM O CONTRATO Nº 074/2019/PGJ.")</f>
        <v>EMPENHO DE IPTU REFERENTE A COTA ÚNICA DE 2024, REF. À IMÓVEL ONDE FUNCIONAM AS PROMOTORIAS DE JUSTIÇA DE GRANJA, LOCALIZADO À RUA 2 DE NOVEMBRO, Nº 664, BAIRRO CENTRO, GRANJA/CE, EM CONSONÂNCIA COM O CONTRATO Nº 074/2019/PGJ.</v>
      </c>
      <c r="F205" s="3" t="s">
        <v>264</v>
      </c>
      <c r="G205" s="6" t="str">
        <f>HYPERLINK("http://www8.mpce.mp.br/Empenhos/150501/NE/2024NE000231.pdf","2024NE000231")</f>
        <v>2024NE000231</v>
      </c>
      <c r="H205" s="7">
        <v>237.72</v>
      </c>
      <c r="I205" s="8" t="s">
        <v>247</v>
      </c>
      <c r="J205" s="12" t="s">
        <v>248</v>
      </c>
    </row>
    <row r="206" spans="1:10" ht="38.25" x14ac:dyDescent="0.25">
      <c r="A206" s="2" t="s">
        <v>45</v>
      </c>
      <c r="B206" s="3" t="s">
        <v>350</v>
      </c>
      <c r="C206" s="4" t="str">
        <f>HYPERLINK("http://www8.mpce.mp.br/Dispensa/4793720162.pdf","4793720162")</f>
        <v>4793720162</v>
      </c>
      <c r="D206" s="5">
        <v>45358</v>
      </c>
      <c r="E206" s="9" t="str">
        <f>HYPERLINK("https://www8.mpce.mp.br/Empenhos/150001/Objeto/14-2017.pdf","EMPENHO DO ALUGUEL DO MÊS DE ABRIL DE 2024, REF. AO IMÓVEL ONDE FUNCIONA O ALMOXARIFADO E PATRIMÔNIO, CONF.CONTRATO Nº 014/2017/PGJ.")</f>
        <v>EMPENHO DO ALUGUEL DO MÊS DE ABRIL DE 2024, REF. AO IMÓVEL ONDE FUNCIONA O ALMOXARIFADO E PATRIMÔNIO, CONF.CONTRATO Nº 014/2017/PGJ.</v>
      </c>
      <c r="F206" s="3" t="s">
        <v>127</v>
      </c>
      <c r="G206" s="6" t="str">
        <f>HYPERLINK("http://www8.mpce.mp.br/Empenhos/150501/NE/2024NE000232.pdf","2024NE000232")</f>
        <v>2024NE000232</v>
      </c>
      <c r="H206" s="7">
        <v>22143.48</v>
      </c>
      <c r="I206" s="8" t="s">
        <v>164</v>
      </c>
      <c r="J206" s="12" t="s">
        <v>165</v>
      </c>
    </row>
    <row r="207" spans="1:10" ht="51" x14ac:dyDescent="0.25">
      <c r="A207" s="2" t="s">
        <v>45</v>
      </c>
      <c r="B207" s="3" t="s">
        <v>345</v>
      </c>
      <c r="C207" s="4" t="str">
        <f>HYPERLINK("http://www8.mpce.mp.br/Dispensa/842220170.pdf","8422/20170")</f>
        <v>8422/20170</v>
      </c>
      <c r="D207" s="5">
        <v>45358</v>
      </c>
      <c r="E207" s="9" t="str">
        <f>HYPERLINK("https://www8.mpce.mp.br/Empenhos/150001/Objeto/16-2017.pdf","EMPENHO DO ALUGUEL DO MÊS DE ABRIL DE 2024, REF. AO IMÓVEL ONDE FUNCIONAM AS PROMOTORIAS DE JUSTIÇA CRIMINAIS DE FORTALEZA, EM CONSONÂNCIA COM O CONTRATO Nº 016/2017/PGJ.")</f>
        <v>EMPENHO DO ALUGUEL DO MÊS DE ABRIL DE 2024, REF. AO IMÓVEL ONDE FUNCIONAM AS PROMOTORIAS DE JUSTIÇA CRIMINAIS DE FORTALEZA, EM CONSONÂNCIA COM O CONTRATO Nº 016/2017/PGJ.</v>
      </c>
      <c r="F207" s="3" t="s">
        <v>127</v>
      </c>
      <c r="G207" s="6" t="str">
        <f>HYPERLINK("http://www8.mpce.mp.br/Empenhos/150501/NE/2024NE000233.pdf","2024NE000233")</f>
        <v>2024NE000233</v>
      </c>
      <c r="H207" s="7">
        <v>58910.97</v>
      </c>
      <c r="I207" s="8" t="s">
        <v>169</v>
      </c>
      <c r="J207" s="12" t="s">
        <v>170</v>
      </c>
    </row>
    <row r="208" spans="1:10" ht="51" x14ac:dyDescent="0.25">
      <c r="A208" s="2" t="s">
        <v>45</v>
      </c>
      <c r="B208" s="3" t="s">
        <v>351</v>
      </c>
      <c r="C208" s="4" t="str">
        <f>HYPERLINK("https://transparencia-area-fim.mpce.mp.br/#/consulta/processo/pastadigital/092022000197876","09.2022.00019787-6")</f>
        <v>09.2022.00019787-6</v>
      </c>
      <c r="D208" s="5">
        <v>45358</v>
      </c>
      <c r="E208" s="9" t="str">
        <f>HYPERLINK("https://www8.mpce.mp.br/Empenhos/150001/Objeto/02-2023.pdf","EMPENHO DO ALUGUEL DOS MÊS DE ABRIL DE 2024, REF. AO IMÓVEL ONDE FUNCIONA O NÚCLEO DE MEDIAÇÃO COMUNITÁRIA DO BOM JARDIM, EM CONFORMIDADE COM O CONTRATO Nº 002/2023/PGJ.")</f>
        <v>EMPENHO DO ALUGUEL DOS MÊS DE ABRIL DE 2024, REF. AO IMÓVEL ONDE FUNCIONA O NÚCLEO DE MEDIAÇÃO COMUNITÁRIA DO BOM JARDIM, EM CONFORMIDADE COM O CONTRATO Nº 002/2023/PGJ.</v>
      </c>
      <c r="F208" s="3" t="s">
        <v>127</v>
      </c>
      <c r="G208" s="6" t="str">
        <f>HYPERLINK("http://www8.mpce.mp.br/Empenhos/150501/NE/2024NE000234.pdf","2024NE000234")</f>
        <v>2024NE000234</v>
      </c>
      <c r="H208" s="7">
        <v>5600</v>
      </c>
      <c r="I208" s="8" t="s">
        <v>134</v>
      </c>
      <c r="J208" s="12" t="s">
        <v>135</v>
      </c>
    </row>
    <row r="209" spans="1:10" ht="45" x14ac:dyDescent="0.25">
      <c r="A209" s="2" t="s">
        <v>20</v>
      </c>
      <c r="B209" s="3" t="s">
        <v>352</v>
      </c>
      <c r="C209" s="4" t="str">
        <f>HYPERLINK("https://transparencia-area-fim.mpce.mp.br/#/consulta/processo/pastadigital/092023000293915","09.2023.00029391-5")</f>
        <v>09.2023.00029391-5</v>
      </c>
      <c r="D209" s="5">
        <v>45369</v>
      </c>
      <c r="E209" s="9" t="str">
        <f>HYPERLINK("https://www8.mpce.mp.br/Empenhos/150001/Objeto/54-2023.pdf","ALUGUEL DO IMÓVEL ONDE FUNCIONA O GALPÃO DO ALMOXARIFADO DA PGJ, CONF. CONTRATO 054/2023, REF. ABR/2024, POR ESTIMATIVA.")</f>
        <v>ALUGUEL DO IMÓVEL ONDE FUNCIONA O GALPÃO DO ALMOXARIFADO DA PGJ, CONF. CONTRATO 054/2023, REF. ABR/2024, POR ESTIMATIVA.</v>
      </c>
      <c r="F209" s="3" t="s">
        <v>127</v>
      </c>
      <c r="G209" s="6" t="str">
        <f>HYPERLINK("http://www8.mpce.mp.br/Empenhos/150501/NE/2024NE000235.pdf","2024NE000235")</f>
        <v>2024NE000235</v>
      </c>
      <c r="H209" s="7">
        <v>22000</v>
      </c>
      <c r="I209" s="8" t="s">
        <v>164</v>
      </c>
      <c r="J209" s="12" t="s">
        <v>165</v>
      </c>
    </row>
    <row r="210" spans="1:10" ht="38.25" x14ac:dyDescent="0.25">
      <c r="A210" s="2" t="s">
        <v>45</v>
      </c>
      <c r="B210" s="3" t="s">
        <v>353</v>
      </c>
      <c r="C210" s="4" t="str">
        <f>HYPERLINK("http://www8.mpce.mp.br/Dispensa/1721020046.pdf","17210/2004-6")</f>
        <v>17210/2004-6</v>
      </c>
      <c r="D210" s="5">
        <v>45358</v>
      </c>
      <c r="E210" s="9" t="str">
        <f>HYPERLINK("https://www8.mpce.mp.br/Empenhos/150001/Objeto/02-2004.pdf","EMPENHO DO ALUGUEL DO MÊS DE ABRIL DE 2024, REF AO IMÓVEL ONDE FUNCIONA O DECON DE FORTALEZA, RELATIVO AO CONTRATO Nº 002/2004/PGJ.")</f>
        <v>EMPENHO DO ALUGUEL DO MÊS DE ABRIL DE 2024, REF AO IMÓVEL ONDE FUNCIONA O DECON DE FORTALEZA, RELATIVO AO CONTRATO Nº 002/2004/PGJ.</v>
      </c>
      <c r="F210" s="3" t="s">
        <v>127</v>
      </c>
      <c r="G210" s="6" t="str">
        <f>HYPERLINK("http://www8.mpce.mp.br/Empenhos/150501/NE/2024NE000238.pdf","2024NE000238")</f>
        <v>2024NE000238</v>
      </c>
      <c r="H210" s="7">
        <v>35789.699999999997</v>
      </c>
      <c r="I210" s="8" t="s">
        <v>131</v>
      </c>
      <c r="J210" s="12" t="s">
        <v>132</v>
      </c>
    </row>
    <row r="211" spans="1:10" ht="51" x14ac:dyDescent="0.25">
      <c r="A211" s="2" t="s">
        <v>20</v>
      </c>
      <c r="B211" s="3" t="s">
        <v>354</v>
      </c>
      <c r="C211" s="4" t="str">
        <f>HYPERLINK("http://www8.mpce.mp.br/Inexigibilidade/1045920194.pdf","10459/2019-4")</f>
        <v>10459/2019-4</v>
      </c>
      <c r="D211" s="5">
        <v>45362</v>
      </c>
      <c r="E211" s="9" t="str">
        <f>HYPERLINK("https://www8.mpce.mp.br/Empenhos/150001/Objeto/47-2019.pdf","SERVIÇOS DE PERÍCIA E ASSESSORIA TÉCNICA ESPECIALIZADAS, CONF. CONTRATO 047/2019, PROPOSTA 012/2024/ASTEF E PROJETO 013/2022, REF. MAR-JUN/2024, POR ESTIMATIVA.")</f>
        <v>SERVIÇOS DE PERÍCIA E ASSESSORIA TÉCNICA ESPECIALIZADAS, CONF. CONTRATO 047/2019, PROPOSTA 012/2024/ASTEF E PROJETO 013/2022, REF. MAR-JUN/2024, POR ESTIMATIVA.</v>
      </c>
      <c r="F211" s="3" t="s">
        <v>92</v>
      </c>
      <c r="G211" s="6" t="str">
        <f>HYPERLINK("http://www8.mpce.mp.br/Empenhos/150501/NE/2024NE000239.pdf","2024NE000239")</f>
        <v>2024NE000239</v>
      </c>
      <c r="H211" s="7">
        <v>92282</v>
      </c>
      <c r="I211" s="8" t="s">
        <v>267</v>
      </c>
      <c r="J211" s="12" t="s">
        <v>268</v>
      </c>
    </row>
    <row r="212" spans="1:10" ht="76.5" x14ac:dyDescent="0.25">
      <c r="A212" s="2" t="s">
        <v>20</v>
      </c>
      <c r="B212" s="3" t="s">
        <v>355</v>
      </c>
      <c r="C212" s="4" t="str">
        <f>HYPERLINK("http://www8.mpce.mp.br/Inexigibilidade/1045920194.pdf","10459/2019-4")</f>
        <v>10459/2019-4</v>
      </c>
      <c r="D212" s="5">
        <v>45358</v>
      </c>
      <c r="E212" s="9" t="str">
        <f>HYPERLINK("https://www8.mpce.mp.br/Empenhos/150001/Objeto/47-2019.pdf","SERVIÇOS DE PERÍCIA E ASSESSORIA TÉCNICA ESPECIALIZADAS, CONF. CONTRATO 047/2019, REF. FEV-JUL/2024, POR ESTIMATIVA.OBSERVAÇÃO: ESTA NOTA DE EMPENHO SUBSTITUI A NED 2024NE000132, QUE FOI ANULADA EM SUA INTEGRALIDADE, POR ERRO DE CLASSIFICAÇÃO.")</f>
        <v>SERVIÇOS DE PERÍCIA E ASSESSORIA TÉCNICA ESPECIALIZADAS, CONF. CONTRATO 047/2019, REF. FEV-JUL/2024, POR ESTIMATIVA.OBSERVAÇÃO: ESTA NOTA DE EMPENHO SUBSTITUI A NED 2024NE000132, QUE FOI ANULADA EM SUA INTEGRALIDADE, POR ERRO DE CLASSIFICAÇÃO.</v>
      </c>
      <c r="F212" s="3" t="s">
        <v>266</v>
      </c>
      <c r="G212" s="6" t="str">
        <f>HYPERLINK("http://www8.mpce.mp.br/Empenhos/150501/NE/2024NE000241.pdf","2024NE000241")</f>
        <v>2024NE000241</v>
      </c>
      <c r="H212" s="7">
        <v>51948.800000000003</v>
      </c>
      <c r="I212" s="8" t="s">
        <v>267</v>
      </c>
      <c r="J212" s="12" t="s">
        <v>268</v>
      </c>
    </row>
    <row r="213" spans="1:10" ht="51" x14ac:dyDescent="0.25">
      <c r="A213" s="2" t="s">
        <v>45</v>
      </c>
      <c r="B213" s="3" t="s">
        <v>356</v>
      </c>
      <c r="C213" s="4" t="str">
        <f>HYPERLINK("https://transparencia-area-fim.mpce.mp.br/#/consulta/processo/pastadigital/092021000063220","09.2021.00006322-0")</f>
        <v>09.2021.00006322-0</v>
      </c>
      <c r="D213" s="5">
        <v>45362</v>
      </c>
      <c r="E213" s="9" t="str">
        <f>HYPERLINK("https://www8.mpce.mp.br/Empenhos/150001/Objeto/33-2021.pdf","EMPENHO DO ALUGUEL DO MÊS DE ABRIL  2024, REF. AO IMÓVEL ONDE FUNCIONAL AS PROMOTORIAS DE JUSTIÇA DA COMARCA DE SOBRAL, EM CONSONÂNCIA COM O CONTRATO Nº 033/2021/PGJ.")</f>
        <v>EMPENHO DO ALUGUEL DO MÊS DE ABRIL  2024, REF. AO IMÓVEL ONDE FUNCIONAL AS PROMOTORIAS DE JUSTIÇA DA COMARCA DE SOBRAL, EM CONSONÂNCIA COM O CONTRATO Nº 033/2021/PGJ.</v>
      </c>
      <c r="F213" s="3" t="s">
        <v>127</v>
      </c>
      <c r="G213" s="6" t="str">
        <f>HYPERLINK("http://www8.mpce.mp.br/Empenhos/150501/NE/2024NE000246.pdf","2024NE000246")</f>
        <v>2024NE000246</v>
      </c>
      <c r="H213" s="7">
        <v>33400.11</v>
      </c>
      <c r="I213" s="8" t="s">
        <v>145</v>
      </c>
      <c r="J213" s="12" t="s">
        <v>146</v>
      </c>
    </row>
    <row r="214" spans="1:10" ht="51" x14ac:dyDescent="0.25">
      <c r="A214" s="2" t="s">
        <v>45</v>
      </c>
      <c r="B214" s="3" t="s">
        <v>357</v>
      </c>
      <c r="C214" s="4" t="str">
        <f>HYPERLINK("https://transparencia-area-fim.mpce.mp.br/#/consulta/processo/pastadigital/092021000064195","09.2021.00006419-5")</f>
        <v>09.2021.00006419-5</v>
      </c>
      <c r="D214" s="5">
        <v>45369</v>
      </c>
      <c r="E214" s="9" t="str">
        <f>HYPERLINK("https://www8.mpce.mp.br/Empenhos/150001/Objeto/41-2021.pdf","ALUGUEL DO IMÓVEL ONDE FUNCIONA A SEDE DAS PROMOTORIAS DE JUSTIÇA DA COMARCA DE QUIXADÁ, CONF. CONTRATO 041/2021, REF. ABR/2024, POR ESTIMATIVA.")</f>
        <v>ALUGUEL DO IMÓVEL ONDE FUNCIONA A SEDE DAS PROMOTORIAS DE JUSTIÇA DA COMARCA DE QUIXADÁ, CONF. CONTRATO 041/2021, REF. ABR/2024, POR ESTIMATIVA.</v>
      </c>
      <c r="F214" s="3" t="s">
        <v>127</v>
      </c>
      <c r="G214" s="6" t="str">
        <f>HYPERLINK("http://www8.mpce.mp.br/Empenhos/150501/NE/2024NE000247.pdf","2024NE000247")</f>
        <v>2024NE000247</v>
      </c>
      <c r="H214" s="7">
        <v>18900</v>
      </c>
      <c r="I214" s="8" t="s">
        <v>140</v>
      </c>
      <c r="J214" s="12" t="s">
        <v>141</v>
      </c>
    </row>
    <row r="215" spans="1:10" ht="51" x14ac:dyDescent="0.25">
      <c r="A215" s="2" t="s">
        <v>45</v>
      </c>
      <c r="B215" s="3" t="s">
        <v>358</v>
      </c>
      <c r="C215" s="4" t="str">
        <f>HYPERLINK("https://transparencia-area-fim.mpce.mp.br/#/consulta/processo/pastadigital/092021000065217","09.2021.00006521-7")</f>
        <v>09.2021.00006521-7</v>
      </c>
      <c r="D215" s="5">
        <v>45369</v>
      </c>
      <c r="E215" s="9" t="str">
        <f>HYPERLINK("https://www8.mpce.mp.br/Empenhos/150001/Objeto/38-2021.pdf","EMPENHO DO ALUGUEL DO MÊS DE  JUNHO DE 2024, REF. À IMÓVEL ONDE FUNCIONAM AS PROMOTORIAS DE JUSTIÇA DA COMARCA DE TAUÁ EM REFERÊNCIA AO CONTRATO 038/2021/PGJ.")</f>
        <v>EMPENHO DO ALUGUEL DO MÊS DE  JUNHO DE 2024, REF. À IMÓVEL ONDE FUNCIONAM AS PROMOTORIAS DE JUSTIÇA DA COMARCA DE TAUÁ EM REFERÊNCIA AO CONTRATO 038/2021/PGJ.</v>
      </c>
      <c r="F215" s="3" t="s">
        <v>127</v>
      </c>
      <c r="G215" s="6" t="str">
        <f>HYPERLINK("http://www8.mpce.mp.br/Empenhos/150501/NE/2024NE000248.pdf","2024NE000248")</f>
        <v>2024NE000248</v>
      </c>
      <c r="H215" s="7">
        <v>18000</v>
      </c>
      <c r="I215" s="8" t="s">
        <v>157</v>
      </c>
      <c r="J215" s="12" t="s">
        <v>158</v>
      </c>
    </row>
    <row r="216" spans="1:10" ht="51" x14ac:dyDescent="0.25">
      <c r="A216" s="2" t="s">
        <v>45</v>
      </c>
      <c r="B216" s="3" t="s">
        <v>357</v>
      </c>
      <c r="C216" s="4" t="str">
        <f>HYPERLINK("https://transparencia-area-fim.mpce.mp.br/#/consulta/processo/pastadigital/092021000244449","09.2021.00024444-9")</f>
        <v>09.2021.00024444-9</v>
      </c>
      <c r="D216" s="5">
        <v>45369</v>
      </c>
      <c r="E216" s="9" t="str">
        <f>HYPERLINK("https://www8.mpce.mp.br/Empenhos/150001/Objeto/12-2022.pdf","ALUGUEL DO IMÓVEL ONDE FUNCIONA A SEDE DAS PROMOTORIAS DE JUSTIÇA DA COMARCA DE RUSSAS-CE, CONF. CONTRATO 012/2022, REF. ABR/2024, POR ESTIMATIVA.")</f>
        <v>ALUGUEL DO IMÓVEL ONDE FUNCIONA A SEDE DAS PROMOTORIAS DE JUSTIÇA DA COMARCA DE RUSSAS-CE, CONF. CONTRATO 012/2022, REF. ABR/2024, POR ESTIMATIVA.</v>
      </c>
      <c r="F216" s="3" t="s">
        <v>127</v>
      </c>
      <c r="G216" s="6" t="str">
        <f>HYPERLINK("http://www8.mpce.mp.br/Empenhos/150501/NE/2024NE000249.pdf","2024NE000249")</f>
        <v>2024NE000249</v>
      </c>
      <c r="H216" s="7">
        <v>20900</v>
      </c>
      <c r="I216" s="8" t="s">
        <v>140</v>
      </c>
      <c r="J216" s="12" t="s">
        <v>141</v>
      </c>
    </row>
    <row r="217" spans="1:10" ht="51" x14ac:dyDescent="0.25">
      <c r="A217" s="2" t="s">
        <v>45</v>
      </c>
      <c r="B217" s="3" t="s">
        <v>357</v>
      </c>
      <c r="C217" s="4" t="str">
        <f>HYPERLINK("https://transparencia-area-fim.mpce.mp.br/#/consulta/processo/pastadigital/092021000244582","09.2021.00024458-2")</f>
        <v>09.2021.00024458-2</v>
      </c>
      <c r="D217" s="5">
        <v>45369</v>
      </c>
      <c r="E217" s="9" t="str">
        <f>HYPERLINK("https://www8.mpce.mp.br/Empenhos/150001/Objeto/11-2022.pdf","ALUGUEL DO IMÓVEL ONDE FUNCIONA A SEDE DAS PROMOTORIAS DE JUSTIÇA DA COMARCA DE ARACATI, CONF. CONTRATO 011/2022, REF. ABR/2024, POR ESTIMATIVA.")</f>
        <v>ALUGUEL DO IMÓVEL ONDE FUNCIONA A SEDE DAS PROMOTORIAS DE JUSTIÇA DA COMARCA DE ARACATI, CONF. CONTRATO 011/2022, REF. ABR/2024, POR ESTIMATIVA.</v>
      </c>
      <c r="F217" s="3" t="s">
        <v>127</v>
      </c>
      <c r="G217" s="6" t="str">
        <f>HYPERLINK("http://www8.mpce.mp.br/Empenhos/150501/NE/2024NE000250.pdf","2024NE000250")</f>
        <v>2024NE000250</v>
      </c>
      <c r="H217" s="7">
        <v>18465</v>
      </c>
      <c r="I217" s="8" t="s">
        <v>182</v>
      </c>
      <c r="J217" s="12" t="s">
        <v>183</v>
      </c>
    </row>
    <row r="218" spans="1:10" ht="38.25" x14ac:dyDescent="0.25">
      <c r="A218" s="2" t="s">
        <v>45</v>
      </c>
      <c r="B218" s="3" t="s">
        <v>359</v>
      </c>
      <c r="C218" s="4" t="str">
        <f>HYPERLINK("https://transparencia-area-fim.mpce.mp.br/#/consulta/processo/pastadigital/092021000244550","09.2021.00024455-0")</f>
        <v>09.2021.00024455-0</v>
      </c>
      <c r="D218" s="5">
        <v>45369</v>
      </c>
      <c r="E218" s="9" t="str">
        <f>HYPERLINK("https://www8.mpce.mp.br/Empenhos/150001/Objeto/10-2022.pdf","EMPENHO DO ALUGUEL DO MÊS DE ABRIL DE 2024, REF. AO IMÓVEL ONDE FUNCIONAM AS PROMOTORIAS DE JUSTIÇA DA COMARCA DE ICÓ, CONF. CONTRATO Nº 010/2022/PGJ.")</f>
        <v>EMPENHO DO ALUGUEL DO MÊS DE ABRIL DE 2024, REF. AO IMÓVEL ONDE FUNCIONAM AS PROMOTORIAS DE JUSTIÇA DA COMARCA DE ICÓ, CONF. CONTRATO Nº 010/2022/PGJ.</v>
      </c>
      <c r="F218" s="3" t="s">
        <v>172</v>
      </c>
      <c r="G218" s="6" t="str">
        <f>HYPERLINK("http://www8.mpce.mp.br/Empenhos/150501/NE/2024NE000251.pdf","2024NE000251")</f>
        <v>2024NE000251</v>
      </c>
      <c r="H218" s="7">
        <v>13486.5</v>
      </c>
      <c r="I218" s="8" t="s">
        <v>228</v>
      </c>
      <c r="J218" s="12" t="s">
        <v>229</v>
      </c>
    </row>
    <row r="219" spans="1:10" ht="38.25" x14ac:dyDescent="0.25">
      <c r="A219" s="2" t="s">
        <v>45</v>
      </c>
      <c r="B219" s="3" t="s">
        <v>365</v>
      </c>
      <c r="C219" s="4" t="str">
        <f>HYPERLINK("http://www8.mpce.mp.br/Dispensa/1984020196.pdf","19840/2019-6")</f>
        <v>19840/2019-6</v>
      </c>
      <c r="D219" s="5">
        <v>45369</v>
      </c>
      <c r="E219" s="9" t="str">
        <f>HYPERLINK("https://www8.mpce.mp.br/Empenhos/150001/Objeto/48-2019.pdf","ALUGUEL DO IMÓVEL ONDE FUNCIONA A SEDE DAS PROMOTORIAS DE JUSTIÇA DE CAUCAIA, CONF. CONTRATO 048/2019, REF. ABR/2024, POR ESTIMATIVA.")</f>
        <v>ALUGUEL DO IMÓVEL ONDE FUNCIONA A SEDE DAS PROMOTORIAS DE JUSTIÇA DE CAUCAIA, CONF. CONTRATO 048/2019, REF. ABR/2024, POR ESTIMATIVA.</v>
      </c>
      <c r="F219" s="3" t="s">
        <v>127</v>
      </c>
      <c r="G219" s="6" t="str">
        <f>HYPERLINK("http://www8.mpce.mp.br/Empenhos/150501/NE/2024NE000252.pdf","2024NE000252")</f>
        <v>2024NE000252</v>
      </c>
      <c r="H219" s="7">
        <v>45512.77</v>
      </c>
      <c r="I219" s="8" t="s">
        <v>162</v>
      </c>
      <c r="J219" s="12" t="s">
        <v>163</v>
      </c>
    </row>
    <row r="220" spans="1:10" ht="51" x14ac:dyDescent="0.25">
      <c r="A220" s="2" t="s">
        <v>20</v>
      </c>
      <c r="B220" s="3" t="s">
        <v>360</v>
      </c>
      <c r="C220" s="4" t="str">
        <f>HYPERLINK("https://transparencia-area-fim.mpce.mp.br/#/consulta/processo/pastadigital/092022000400426","09.2022.00040042-6")</f>
        <v>09.2022.00040042-6</v>
      </c>
      <c r="D220" s="5">
        <v>45341</v>
      </c>
      <c r="E220" s="9" t="s">
        <v>361</v>
      </c>
      <c r="F220" s="3" t="s">
        <v>362</v>
      </c>
      <c r="G220" s="6" t="str">
        <f>HYPERLINK("http://www8.mpce.mp.br/Empenhos/150001/NE/2024NE000252.pdf","2024NE000252")</f>
        <v>2024NE000252</v>
      </c>
      <c r="H220" s="7">
        <v>93478.8</v>
      </c>
      <c r="I220" s="8" t="s">
        <v>363</v>
      </c>
      <c r="J220" s="12" t="s">
        <v>364</v>
      </c>
    </row>
    <row r="221" spans="1:10" ht="51" x14ac:dyDescent="0.25">
      <c r="A221" s="2" t="s">
        <v>20</v>
      </c>
      <c r="B221" s="3" t="s">
        <v>360</v>
      </c>
      <c r="C221" s="4" t="str">
        <f>HYPERLINK("https://transparencia-area-fim.mpce.mp.br/#/consulta/processo/pastadigital/092022000400426","09.2022.00040042-6")</f>
        <v>09.2022.00040042-6</v>
      </c>
      <c r="D221" s="5">
        <v>45341</v>
      </c>
      <c r="E221" s="9" t="s">
        <v>361</v>
      </c>
      <c r="F221" s="3" t="s">
        <v>362</v>
      </c>
      <c r="G221" s="6" t="str">
        <f>HYPERLINK("http://www8.mpce.mp.br/Empenhos/150001/NE/2024NE000252.pdf","2024NE000252")</f>
        <v>2024NE000252</v>
      </c>
      <c r="H221" s="7">
        <v>93478.8</v>
      </c>
      <c r="I221" s="8" t="s">
        <v>363</v>
      </c>
      <c r="J221" s="12" t="s">
        <v>364</v>
      </c>
    </row>
    <row r="222" spans="1:10" ht="51" x14ac:dyDescent="0.25">
      <c r="A222" s="2" t="s">
        <v>45</v>
      </c>
      <c r="B222" s="3" t="s">
        <v>366</v>
      </c>
      <c r="C222" s="4" t="str">
        <f>HYPERLINK("https://transparencia-area-fim.mpce.mp.br/#/consulta/processo/pastadigital/092022000081432","09.2022.00008143-2")</f>
        <v>09.2022.00008143-2</v>
      </c>
      <c r="D222" s="5">
        <v>45369</v>
      </c>
      <c r="E222" s="9" t="str">
        <f>HYPERLINK("https://www8.mpce.mp.br/Empenhos/150001/Objeto/16-2022.pdf","EMPENHO DO ALUGUEL DO MÊS DE ABRIL DE2024, REF. AO IMÓVEL ONDE FUNCIONAM AS PROMOTORIAS DE JUSTIÇA DA COMARCA DE BARBALHA, RELATIVO AO CONTRATO Nº 016/2022/PGJ.")</f>
        <v>EMPENHO DO ALUGUEL DO MÊS DE ABRIL DE2024, REF. AO IMÓVEL ONDE FUNCIONAM AS PROMOTORIAS DE JUSTIÇA DA COMARCA DE BARBALHA, RELATIVO AO CONTRATO Nº 016/2022/PGJ.</v>
      </c>
      <c r="F222" s="3" t="s">
        <v>127</v>
      </c>
      <c r="G222" s="6" t="str">
        <f>HYPERLINK("http://www8.mpce.mp.br/Empenhos/150501/NE/2024NE000253.pdf","2024NE000253")</f>
        <v>2024NE000253</v>
      </c>
      <c r="H222" s="7">
        <v>16434.259999999998</v>
      </c>
      <c r="I222" s="8" t="s">
        <v>143</v>
      </c>
      <c r="J222" s="12" t="s">
        <v>144</v>
      </c>
    </row>
    <row r="223" spans="1:10" ht="63.75" x14ac:dyDescent="0.25">
      <c r="A223" s="2" t="s">
        <v>20</v>
      </c>
      <c r="B223" s="3" t="s">
        <v>367</v>
      </c>
      <c r="C223" s="4" t="str">
        <f>HYPERLINK("https://transparencia-area-fim.mpce.mp.br/#/consulta/processo/pastadigital/092024000011800","09.2024.00001180-0")</f>
        <v>09.2024.00001180-0</v>
      </c>
      <c r="D223" s="5">
        <v>45342</v>
      </c>
      <c r="E223" s="9" t="s">
        <v>368</v>
      </c>
      <c r="F223" s="3" t="s">
        <v>369</v>
      </c>
      <c r="G223" s="6" t="str">
        <f>HYPERLINK("http://www8.mpce.mp.br/Empenhos/150001/NE/2024NE000254.pdf","2024NE000254")</f>
        <v>2024NE000254</v>
      </c>
      <c r="H223" s="7">
        <v>650</v>
      </c>
      <c r="I223" s="8" t="s">
        <v>370</v>
      </c>
      <c r="J223" s="12" t="s">
        <v>371</v>
      </c>
    </row>
    <row r="224" spans="1:10" ht="51" x14ac:dyDescent="0.25">
      <c r="A224" s="2" t="s">
        <v>45</v>
      </c>
      <c r="B224" s="3" t="s">
        <v>372</v>
      </c>
      <c r="C224" s="4" t="str">
        <f>HYPERLINK("https://transparencia-area-fim.mpce.mp.br/#/consulta/processo/pastadigital/092021000244271","09.2021.00024427-1")</f>
        <v>09.2021.00024427-1</v>
      </c>
      <c r="D224" s="5">
        <v>45369</v>
      </c>
      <c r="E224" s="9" t="str">
        <f>HYPERLINK("https://www8.mpce.mp.br/Empenhos/150001/Objeto/17-2022.pdf","EMPENHO DO ALUGUEL DO MÊS DE ABRIL DE 2024, REF. AO IMÓVEL ONDE FUNCIONAM AS PROMOTORIAS DE JUSTIÇA DA COMARCA DE TIANGUÁ, RELATIVO AO CONTRATO Nº 017/2022/PGJ.")</f>
        <v>EMPENHO DO ALUGUEL DO MÊS DE ABRIL DE 2024, REF. AO IMÓVEL ONDE FUNCIONAM AS PROMOTORIAS DE JUSTIÇA DA COMARCA DE TIANGUÁ, RELATIVO AO CONTRATO Nº 017/2022/PGJ.</v>
      </c>
      <c r="F224" s="3" t="s">
        <v>127</v>
      </c>
      <c r="G224" s="6" t="str">
        <f>HYPERLINK("http://www8.mpce.mp.br/Empenhos/150501/NE/2024NE000254.pdf","2024NE000254")</f>
        <v>2024NE000254</v>
      </c>
      <c r="H224" s="7">
        <v>26000</v>
      </c>
      <c r="I224" s="8" t="s">
        <v>186</v>
      </c>
      <c r="J224" s="12" t="s">
        <v>187</v>
      </c>
    </row>
    <row r="225" spans="1:10" ht="51" x14ac:dyDescent="0.25">
      <c r="A225" s="2" t="s">
        <v>45</v>
      </c>
      <c r="B225" s="3" t="s">
        <v>373</v>
      </c>
      <c r="C225" s="4" t="str">
        <f>HYPERLINK("https://transparencia-area-fim.mpce.mp.br/#/consulta/processo/pastadigital/092021000244282","09.2021.00024428-2")</f>
        <v>09.2021.00024428-2</v>
      </c>
      <c r="D225" s="5">
        <v>45369</v>
      </c>
      <c r="E225" s="9" t="str">
        <f>HYPERLINK("https://www8.mpce.mp.br/Empenhos/150001/Objeto/18-2022.pdf","EMPENHO DO ALUGUEL DO MÊS DE ABRIL DE 2024, REF. AO IMÓVEL ONDE FUNCIONAM AS PROMOTORIAS DE JUSTIÇA DA COMARCA DE CRATEÚS, RELATIVO AO CONTRATO Nº 018/2022/PGJ.")</f>
        <v>EMPENHO DO ALUGUEL DO MÊS DE ABRIL DE 2024, REF. AO IMÓVEL ONDE FUNCIONAM AS PROMOTORIAS DE JUSTIÇA DA COMARCA DE CRATEÚS, RELATIVO AO CONTRATO Nº 018/2022/PGJ.</v>
      </c>
      <c r="F225" s="3" t="s">
        <v>127</v>
      </c>
      <c r="G225" s="6" t="str">
        <f>HYPERLINK("http://www8.mpce.mp.br/Empenhos/150501/NE/2024NE000255.pdf","2024NE000255")</f>
        <v>2024NE000255</v>
      </c>
      <c r="H225" s="7">
        <v>26000.1</v>
      </c>
      <c r="I225" s="8" t="s">
        <v>145</v>
      </c>
      <c r="J225" s="12" t="s">
        <v>146</v>
      </c>
    </row>
    <row r="226" spans="1:10" ht="51" x14ac:dyDescent="0.25">
      <c r="A226" s="2" t="s">
        <v>45</v>
      </c>
      <c r="B226" s="3" t="s">
        <v>374</v>
      </c>
      <c r="C226" s="4" t="str">
        <f>HYPERLINK("https://transparencia-area-fim.mpce.mp.br/#/consulta/processo/pastadigital/092022000230870","09.2022.00023087-0")</f>
        <v>09.2022.00023087-0</v>
      </c>
      <c r="D226" s="5">
        <v>45369</v>
      </c>
      <c r="E226" s="9" t="str">
        <f>HYPERLINK("https://www8.mpce.mp.br/Empenhos/150001/Objeto/29-2022.pdf","EMPENHO DO ALUGUEL DO MÊS DE ABRIL DE 2024, REF. AO IMÓVEL ONDE FUNCIONAM AS PROMOTORIAS DE JUSTIÇA DA COMARCA DE JUAZEIRO DO NORTE, RELATIVO AO CONTRATO 029/2022/PGJ.")</f>
        <v>EMPENHO DO ALUGUEL DO MÊS DE ABRIL DE 2024, REF. AO IMÓVEL ONDE FUNCIONAM AS PROMOTORIAS DE JUSTIÇA DA COMARCA DE JUAZEIRO DO NORTE, RELATIVO AO CONTRATO 029/2022/PGJ.</v>
      </c>
      <c r="F226" s="3" t="s">
        <v>127</v>
      </c>
      <c r="G226" s="6" t="str">
        <f>HYPERLINK("http://www8.mpce.mp.br/Empenhos/150501/NE/2024NE000256.pdf","2024NE000256")</f>
        <v>2024NE000256</v>
      </c>
      <c r="H226" s="7">
        <v>66161.41</v>
      </c>
      <c r="I226" s="8" t="s">
        <v>143</v>
      </c>
      <c r="J226" s="12" t="s">
        <v>144</v>
      </c>
    </row>
    <row r="227" spans="1:10" ht="51" x14ac:dyDescent="0.25">
      <c r="A227" s="2" t="s">
        <v>45</v>
      </c>
      <c r="B227" s="3" t="s">
        <v>375</v>
      </c>
      <c r="C227" s="4" t="str">
        <f>HYPERLINK("https://transparencia-area-fim.mpce.mp.br/#/consulta/processo/pastadigital/092022000343751","09.2022.00034375-1")</f>
        <v>09.2022.00034375-1</v>
      </c>
      <c r="D227" s="5">
        <v>45369</v>
      </c>
      <c r="E227" s="9" t="str">
        <f>HYPERLINK("https://www8.mpce.mp.br/Empenhos/150001/Objeto/08-2023.pdf","EMPENHO DO ALUGUEL DOS MÊS DE ABRIL  2024, REF. AO IMÓVEL ONDE FUNCIONAM AS PROMOTORIAS DE JUSTIÇA DA COMARCA DE QUIXERAMOBIM, RELATIVO AO CONTRATO Nº 008/2023/PGJ.")</f>
        <v>EMPENHO DO ALUGUEL DOS MÊS DE ABRIL  2024, REF. AO IMÓVEL ONDE FUNCIONAM AS PROMOTORIAS DE JUSTIÇA DA COMARCA DE QUIXERAMOBIM, RELATIVO AO CONTRATO Nº 008/2023/PGJ.</v>
      </c>
      <c r="F227" s="3" t="s">
        <v>127</v>
      </c>
      <c r="G227" s="6" t="str">
        <f>HYPERLINK("http://www8.mpce.mp.br/Empenhos/150501/NE/2024NE000257.pdf","2024NE000257")</f>
        <v>2024NE000257</v>
      </c>
      <c r="H227" s="7">
        <v>14180</v>
      </c>
      <c r="I227" s="8" t="s">
        <v>140</v>
      </c>
      <c r="J227" s="12" t="s">
        <v>141</v>
      </c>
    </row>
    <row r="228" spans="1:10" ht="51" x14ac:dyDescent="0.25">
      <c r="A228" s="2" t="s">
        <v>45</v>
      </c>
      <c r="B228" s="3" t="s">
        <v>376</v>
      </c>
      <c r="C228" s="4" t="str">
        <f>HYPERLINK("https://transparencia-area-fim.mpce.mp.br/#/consulta/processo/pastadigital/092022000343829","09.2022.00034382-9")</f>
        <v>09.2022.00034382-9</v>
      </c>
      <c r="D228" s="5">
        <v>45369</v>
      </c>
      <c r="E228" s="9" t="str">
        <f>HYPERLINK("https://www8.mpce.mp.br/Empenhos/150001/Objeto/10-2023.pdf","EMPENHO DO ALUGUEL DO MÊS DE ABRIL DE 2024, REF. AO IMÓVEL ONDE FUNCIONAM AS PROMOTORIAS DE JUSTIÇA DA COMARCA DE ITAPAJÉ, RELATIVO AO CONTRATO Nº 010/2023/PGJ.")</f>
        <v>EMPENHO DO ALUGUEL DO MÊS DE ABRIL DE 2024, REF. AO IMÓVEL ONDE FUNCIONAM AS PROMOTORIAS DE JUSTIÇA DA COMARCA DE ITAPAJÉ, RELATIVO AO CONTRATO Nº 010/2023/PGJ.</v>
      </c>
      <c r="F228" s="3" t="s">
        <v>127</v>
      </c>
      <c r="G228" s="6" t="str">
        <f>HYPERLINK("http://www8.mpce.mp.br/Empenhos/150501/NE/2024NE000258.pdf","2024NE000258")</f>
        <v>2024NE000258</v>
      </c>
      <c r="H228" s="7">
        <v>13612</v>
      </c>
      <c r="I228" s="8" t="s">
        <v>140</v>
      </c>
      <c r="J228" s="12" t="s">
        <v>141</v>
      </c>
    </row>
    <row r="229" spans="1:10" ht="51" x14ac:dyDescent="0.25">
      <c r="A229" s="2" t="s">
        <v>45</v>
      </c>
      <c r="B229" s="3" t="s">
        <v>377</v>
      </c>
      <c r="C229" s="4" t="str">
        <f>HYPERLINK("https://transparencia-area-fim.mpce.mp.br/#/consulta/processo/pastadigital/092022000343818","09.2022.00034381-8")</f>
        <v>09.2022.00034381-8</v>
      </c>
      <c r="D229" s="5">
        <v>45369</v>
      </c>
      <c r="E229" s="9" t="str">
        <f>HYPERLINK("https://www8.mpce.mp.br/Empenhos/150001/Objeto/24-2023.pdf","EMPENHO DO ALUGUEL DO MÊS DE ABRIL DE 2024, REF. AO IMÓVEL ONDE FUNCIONAM AS PROMOTORIAS DE JUSTIÇA DA COMARCA DE ITAPIPOCA, RELATIVO AO CONTRATO Nº 024/2023/PGJ.")</f>
        <v>EMPENHO DO ALUGUEL DO MÊS DE ABRIL DE 2024, REF. AO IMÓVEL ONDE FUNCIONAM AS PROMOTORIAS DE JUSTIÇA DA COMARCA DE ITAPIPOCA, RELATIVO AO CONTRATO Nº 024/2023/PGJ.</v>
      </c>
      <c r="F229" s="3" t="s">
        <v>127</v>
      </c>
      <c r="G229" s="6" t="str">
        <f>HYPERLINK("http://www8.mpce.mp.br/Empenhos/150501/NE/2024NE000259.pdf","2024NE000259")</f>
        <v>2024NE000259</v>
      </c>
      <c r="H229" s="7">
        <v>18000</v>
      </c>
      <c r="I229" s="8" t="s">
        <v>251</v>
      </c>
      <c r="J229" s="12" t="s">
        <v>252</v>
      </c>
    </row>
    <row r="230" spans="1:10" ht="51" x14ac:dyDescent="0.25">
      <c r="A230" s="2" t="s">
        <v>45</v>
      </c>
      <c r="B230" s="3" t="s">
        <v>378</v>
      </c>
      <c r="C230" s="4" t="str">
        <f>HYPERLINK("https://transparencia-area-fim.mpce.mp.br/#/consulta/processo/pastadigital/092022000343840","09.2022.00034384-0")</f>
        <v>09.2022.00034384-0</v>
      </c>
      <c r="D230" s="5">
        <v>45371</v>
      </c>
      <c r="E230" s="9" t="str">
        <f>HYPERLINK("https://www8.mpce.mp.br/Empenhos/150001/Objeto/11-2023.pdf","EMPENHO DO ALUGUEL DO MÊS DE ABRIL DE 2024, RELATIVO AO IMÓVEL ONDE FUNCIONAM AS PROMOTORIAS DE JUSTIÇA DA COMARCA DE SANTA QUITÉRIA, CONF. CONTRATO Nº 011/2023/PGJ.")</f>
        <v>EMPENHO DO ALUGUEL DO MÊS DE ABRIL DE 2024, RELATIVO AO IMÓVEL ONDE FUNCIONAM AS PROMOTORIAS DE JUSTIÇA DA COMARCA DE SANTA QUITÉRIA, CONF. CONTRATO Nº 011/2023/PGJ.</v>
      </c>
      <c r="F230" s="3" t="s">
        <v>127</v>
      </c>
      <c r="G230" s="6" t="str">
        <f>HYPERLINK("http://www8.mpce.mp.br/Empenhos/150501/NE/2024NE000260.pdf","2024NE000260")</f>
        <v>2024NE000260</v>
      </c>
      <c r="H230" s="7">
        <v>13200</v>
      </c>
      <c r="I230" s="8" t="s">
        <v>249</v>
      </c>
      <c r="J230" s="12" t="s">
        <v>250</v>
      </c>
    </row>
    <row r="231" spans="1:10" ht="51" x14ac:dyDescent="0.25">
      <c r="A231" s="2" t="s">
        <v>45</v>
      </c>
      <c r="B231" s="3" t="s">
        <v>357</v>
      </c>
      <c r="C231" s="4" t="str">
        <f>HYPERLINK("https://transparencia-area-fim.mpce.mp.br/#/consulta/processo/pastadigital/092022000343795","09.2022.00034379-5")</f>
        <v>09.2022.00034379-5</v>
      </c>
      <c r="D231" s="5">
        <v>45369</v>
      </c>
      <c r="E231" s="9" t="str">
        <f>HYPERLINK("https://www8.mpce.mp.br/Empenhos/150001/Objeto/25-2023.pdf","ALUGUEL DO IMÓVEL ONDE FUNCIONA A SEDE DAS PROMOTORIAS DE JUSTIÇA DA COMARCA DE CANINDÉ, CONF. CONTRATO 025/2023, REF. ABR/2024, POR ESTIMATIVA.")</f>
        <v>ALUGUEL DO IMÓVEL ONDE FUNCIONA A SEDE DAS PROMOTORIAS DE JUSTIÇA DA COMARCA DE CANINDÉ, CONF. CONTRATO 025/2023, REF. ABR/2024, POR ESTIMATIVA.</v>
      </c>
      <c r="F231" s="3" t="s">
        <v>127</v>
      </c>
      <c r="G231" s="6" t="str">
        <f>HYPERLINK("http://www8.mpce.mp.br/Empenhos/150501/NE/2024NE000261.pdf","2024NE000261")</f>
        <v>2024NE000261</v>
      </c>
      <c r="H231" s="7">
        <v>14000</v>
      </c>
      <c r="I231" s="8" t="s">
        <v>245</v>
      </c>
      <c r="J231" s="12" t="s">
        <v>246</v>
      </c>
    </row>
    <row r="232" spans="1:10" ht="51" x14ac:dyDescent="0.25">
      <c r="A232" s="2" t="s">
        <v>20</v>
      </c>
      <c r="B232" s="3" t="s">
        <v>379</v>
      </c>
      <c r="C232" s="4" t="str">
        <f>HYPERLINK("http://www8.mpce.mp.br/Inexigibilidade/2903020176.pdf","29030/2017-6")</f>
        <v>29030/2017-6</v>
      </c>
      <c r="D232" s="5">
        <v>45362</v>
      </c>
      <c r="E232" s="9" t="str">
        <f>HYPERLINK("https://www8.mpce.mp.br/Empenhos/150001/Objeto/31-2018.pdf","SISTEMA SAJ-MP  ACOMPANHAMENTO DA OPERAÇÃO E HOSPEDAGEM EM NUVEM, POR ESTIMATIVA, REF.  AOS MESES DE JAN, FEV E MARÇO, CONF. CONTRATO Nº 031/2018 E PROJETO Nº 052/20243.")</f>
        <v>SISTEMA SAJ-MP  ACOMPANHAMENTO DA OPERAÇÃO E HOSPEDAGEM EM NUVEM, POR ESTIMATIVA, REF.  AOS MESES DE JAN, FEV E MARÇO, CONF. CONTRATO Nº 031/2018 E PROJETO Nº 052/20243.</v>
      </c>
      <c r="F232" s="3" t="s">
        <v>82</v>
      </c>
      <c r="G232" s="6" t="str">
        <f>HYPERLINK("http://www8.mpce.mp.br/Empenhos/150501/NE/2024NE000262.pdf","2024NE000262")</f>
        <v>2024NE000262</v>
      </c>
      <c r="H232" s="7">
        <v>493161.21</v>
      </c>
      <c r="I232" s="8" t="s">
        <v>83</v>
      </c>
      <c r="J232" s="12" t="s">
        <v>84</v>
      </c>
    </row>
    <row r="233" spans="1:10" ht="51" x14ac:dyDescent="0.25">
      <c r="A233" s="2" t="s">
        <v>20</v>
      </c>
      <c r="B233" s="3" t="s">
        <v>379</v>
      </c>
      <c r="C233" s="4" t="str">
        <f>HYPERLINK("http://www8.mpce.mp.br/Inexigibilidade/2903020176.pdf","29030/2017-6")</f>
        <v>29030/2017-6</v>
      </c>
      <c r="D233" s="5">
        <v>45362</v>
      </c>
      <c r="E233" s="9" t="str">
        <f>HYPERLINK("https://www8.mpce.mp.br/Empenhos/150001/Objeto/31-2018.pdf","SISTEMA SAJ-MP  ACOMPANHAMENTO DA OPERAÇÃO E HOSPEDAGEM EM NUVEM, POR ESTIMATIVA, REF.  AOS MESES DE JAN, FEV E MARÇO, CONF. CONTRATO Nº 031/2018 E PROJETO Nº 052/20243.")</f>
        <v>SISTEMA SAJ-MP  ACOMPANHAMENTO DA OPERAÇÃO E HOSPEDAGEM EM NUVEM, POR ESTIMATIVA, REF.  AOS MESES DE JAN, FEV E MARÇO, CONF. CONTRATO Nº 031/2018 E PROJETO Nº 052/20243.</v>
      </c>
      <c r="F233" s="3" t="s">
        <v>82</v>
      </c>
      <c r="G233" s="6" t="str">
        <f>HYPERLINK("http://www8.mpce.mp.br/Empenhos/150501/NE/2024NE000262.pdf","2024NE000262")</f>
        <v>2024NE000262</v>
      </c>
      <c r="H233" s="7">
        <v>493161.21</v>
      </c>
      <c r="I233" s="8" t="s">
        <v>83</v>
      </c>
      <c r="J233" s="12" t="s">
        <v>84</v>
      </c>
    </row>
    <row r="234" spans="1:10" ht="51" x14ac:dyDescent="0.25">
      <c r="A234" s="2" t="s">
        <v>20</v>
      </c>
      <c r="B234" s="3" t="s">
        <v>379</v>
      </c>
      <c r="C234" s="4" t="str">
        <f>HYPERLINK("http://www8.mpce.mp.br/Inexigibilidade/2903020176.pdf","29030/2017-6")</f>
        <v>29030/2017-6</v>
      </c>
      <c r="D234" s="5">
        <v>45362</v>
      </c>
      <c r="E234" s="9" t="str">
        <f>HYPERLINK("https://www8.mpce.mp.br/Empenhos/150001/Objeto/31-2018.pdf","SISTEMA SAJ-MP  ACOMPANHAMENTO DA OPERAÇÃO E HOSPEDAGEM EM NUVEM, POR ESTIMATIVA, REF.  AOS MESES DE JAN, FEV E MARÇO, CONF. CONTRATO Nº 031/2018 E PROJETO Nº 052/20243.")</f>
        <v>SISTEMA SAJ-MP  ACOMPANHAMENTO DA OPERAÇÃO E HOSPEDAGEM EM NUVEM, POR ESTIMATIVA, REF.  AOS MESES DE JAN, FEV E MARÇO, CONF. CONTRATO Nº 031/2018 E PROJETO Nº 052/20243.</v>
      </c>
      <c r="F234" s="3" t="s">
        <v>82</v>
      </c>
      <c r="G234" s="6" t="str">
        <f>HYPERLINK("http://www8.mpce.mp.br/Empenhos/150501/NE/2024NE000262.pdf","2024NE000262")</f>
        <v>2024NE000262</v>
      </c>
      <c r="H234" s="7">
        <v>493161.21</v>
      </c>
      <c r="I234" s="8" t="s">
        <v>83</v>
      </c>
      <c r="J234" s="12" t="s">
        <v>84</v>
      </c>
    </row>
    <row r="235" spans="1:10" ht="51" x14ac:dyDescent="0.25">
      <c r="A235" s="2" t="s">
        <v>20</v>
      </c>
      <c r="B235" s="3" t="s">
        <v>379</v>
      </c>
      <c r="C235" s="4" t="str">
        <f>HYPERLINK("http://www8.mpce.mp.br/Inexigibilidade/2903020176.pdf","29030/2017-6")</f>
        <v>29030/2017-6</v>
      </c>
      <c r="D235" s="5">
        <v>45362</v>
      </c>
      <c r="E235" s="9" t="str">
        <f>HYPERLINK("https://www8.mpce.mp.br/Empenhos/150001/Objeto/31-2018.pdf","SISTEMA SAJ-MP  ACOMPANHAMENTO DA OPERAÇÃO E HOSPEDAGEM EM NUVEM, POR ESTIMATIVA, REF.  AOS MESES DE JAN, FEV E MARÇO, CONF. CONTRATO Nº 031/2018 E PROJETO Nº 052/20243.")</f>
        <v>SISTEMA SAJ-MP  ACOMPANHAMENTO DA OPERAÇÃO E HOSPEDAGEM EM NUVEM, POR ESTIMATIVA, REF.  AOS MESES DE JAN, FEV E MARÇO, CONF. CONTRATO Nº 031/2018 E PROJETO Nº 052/20243.</v>
      </c>
      <c r="F235" s="3" t="s">
        <v>82</v>
      </c>
      <c r="G235" s="6" t="str">
        <f>HYPERLINK("http://www8.mpce.mp.br/Empenhos/150501/NE/2024NE000262.pdf","2024NE000262")</f>
        <v>2024NE000262</v>
      </c>
      <c r="H235" s="7">
        <v>493161.21</v>
      </c>
      <c r="I235" s="8" t="s">
        <v>83</v>
      </c>
      <c r="J235" s="12" t="s">
        <v>84</v>
      </c>
    </row>
    <row r="236" spans="1:10" ht="51" x14ac:dyDescent="0.25">
      <c r="A236" s="2" t="s">
        <v>20</v>
      </c>
      <c r="B236" s="3" t="s">
        <v>379</v>
      </c>
      <c r="C236" s="4" t="str">
        <f>HYPERLINK("http://www8.mpce.mp.br/Inexigibilidade/2903020176.pdf","29030/2017-6")</f>
        <v>29030/2017-6</v>
      </c>
      <c r="D236" s="5">
        <v>45362</v>
      </c>
      <c r="E236" s="9" t="str">
        <f>HYPERLINK("https://www8.mpce.mp.br/Empenhos/150001/Objeto/31-2018.pdf","SISTEMA SAJ-MP  ACOMPANHAMENTO DA OPERAÇÃO E HOSPEDAGEM EM NUVEM, POR ESTIMATIVA, REF.  AOS MESES DE JAN, FEV E MARÇO, CONF. CONTRATO Nº 031/2018 E PROJETO Nº 052/20243.")</f>
        <v>SISTEMA SAJ-MP  ACOMPANHAMENTO DA OPERAÇÃO E HOSPEDAGEM EM NUVEM, POR ESTIMATIVA, REF.  AOS MESES DE JAN, FEV E MARÇO, CONF. CONTRATO Nº 031/2018 E PROJETO Nº 052/20243.</v>
      </c>
      <c r="F236" s="3" t="s">
        <v>82</v>
      </c>
      <c r="G236" s="6" t="str">
        <f>HYPERLINK("http://www8.mpce.mp.br/Empenhos/150501/NE/2024NE000262.pdf","2024NE000262")</f>
        <v>2024NE000262</v>
      </c>
      <c r="H236" s="7">
        <v>493161.21</v>
      </c>
      <c r="I236" s="8" t="s">
        <v>83</v>
      </c>
      <c r="J236" s="12" t="s">
        <v>84</v>
      </c>
    </row>
    <row r="237" spans="1:10" ht="63.75" x14ac:dyDescent="0.25">
      <c r="A237" s="2" t="s">
        <v>45</v>
      </c>
      <c r="B237" s="3" t="s">
        <v>357</v>
      </c>
      <c r="C237" s="4" t="str">
        <f>HYPERLINK("http://www8.mpce.mp.br/Dispensa/4572720144.pdf","45727/2014-4")</f>
        <v>45727/2014-4</v>
      </c>
      <c r="D237" s="5">
        <v>45369</v>
      </c>
      <c r="E237" s="9" t="str">
        <f>HYPERLINK("https://www8.mpce.mp.br/Empenhos/150001/Objeto/01-2015.pdf","ALUGUEL DE 18 (DEZOITO) SALAS COMERCIAIS ONDE FUNCIONAM PROMOTORIAS DE JUSTIÇA DE JUAZEIRO DO NORTE, DECON E NÚCLEO DE GÊNERO E TUTELA COLETIVA E DO NÚCLEO DE GÊNERO PRÓ-MULHER, CONF. CONTRATO 001/2015, REF. ABR/2024, POR ESTIMATIVA.")</f>
        <v>ALUGUEL DE 18 (DEZOITO) SALAS COMERCIAIS ONDE FUNCIONAM PROMOTORIAS DE JUSTIÇA DE JUAZEIRO DO NORTE, DECON E NÚCLEO DE GÊNERO E TUTELA COLETIVA E DO NÚCLEO DE GÊNERO PRÓ-MULHER, CONF. CONTRATO 001/2015, REF. ABR/2024, POR ESTIMATIVA.</v>
      </c>
      <c r="F237" s="3" t="s">
        <v>127</v>
      </c>
      <c r="G237" s="6" t="str">
        <f>HYPERLINK("http://www8.mpce.mp.br/Empenhos/150501/NE/2024NE000266.pdf","2024NE000266")</f>
        <v>2024NE000266</v>
      </c>
      <c r="H237" s="7">
        <v>32762.63</v>
      </c>
      <c r="I237" s="8" t="s">
        <v>226</v>
      </c>
      <c r="J237" s="12" t="s">
        <v>227</v>
      </c>
    </row>
    <row r="238" spans="1:10" ht="38.25" x14ac:dyDescent="0.25">
      <c r="A238" s="2" t="s">
        <v>45</v>
      </c>
      <c r="B238" s="3" t="s">
        <v>357</v>
      </c>
      <c r="C238" s="4" t="str">
        <f>HYPERLINK("http://www8.mpce.mp.br/Dispensa/575920103.pdf","5759/2010-3")</f>
        <v>5759/2010-3</v>
      </c>
      <c r="D238" s="5">
        <v>45373</v>
      </c>
      <c r="E238" s="9" t="str">
        <f>HYPERLINK("https://www8.mpce.mp.br/Empenhos/150001/Objeto/22-2010.pdf","ALUGUEL DO MÓVEL ONDE FUNCIONA A SEDE DAS PROMOTORIAS DE JUSTIÇA DA COMARCA DE GUAIÚBA, REF. ABR/2024, POR ESTIMATIVA.")</f>
        <v>ALUGUEL DO MÓVEL ONDE FUNCIONA A SEDE DAS PROMOTORIAS DE JUSTIÇA DA COMARCA DE GUAIÚBA, REF. ABR/2024, POR ESTIMATIVA.</v>
      </c>
      <c r="F238" s="3" t="s">
        <v>172</v>
      </c>
      <c r="G238" s="6" t="str">
        <f>HYPERLINK("http://www8.mpce.mp.br/Empenhos/150501/NE/2024NE000267.pdf","2024NE000267")</f>
        <v>2024NE000267</v>
      </c>
      <c r="H238" s="7">
        <v>2341.9699999999998</v>
      </c>
      <c r="I238" s="8" t="s">
        <v>222</v>
      </c>
      <c r="J238" s="12" t="s">
        <v>223</v>
      </c>
    </row>
    <row r="239" spans="1:10" ht="76.5" x14ac:dyDescent="0.25">
      <c r="A239" s="2" t="s">
        <v>45</v>
      </c>
      <c r="B239" s="3" t="s">
        <v>380</v>
      </c>
      <c r="C239" s="4" t="str">
        <f>HYPERLINK("https://transparencia-area-fim.mpce.mp.br/#/consulta/processo/pastadigital/092022000120475","09.2022.00012047-5")</f>
        <v>09.2022.00012047-5</v>
      </c>
      <c r="D239" s="5">
        <v>45345</v>
      </c>
      <c r="E239" s="9" t="str">
        <f>HYPERLINK("https://www8.mpce.mp.br/Empenhos/150001/Objeto/54-2022.pdf","EMPENHO DE SERVIÇOS DE INFORMAÇÕES DE CRÉDITOS, REF. : 1º TERMO DE APOSTILAMENTO AO CONTATO N. 054/2022, CELEBRADO COM A EMPRESA CREDILINK INFORMAÇÕES DE CRÉDITO, RELATIVO À PRESTAÇÃO DE CONSULTA DE DADOS CADASTRAIS DE ÂMBITO NACIONAL, VIA WEB SERVICE.")</f>
        <v>EMPENHO DE SERVIÇOS DE INFORMAÇÕES DE CRÉDITOS, REF. : 1º TERMO DE APOSTILAMENTO AO CONTATO N. 054/2022, CELEBRADO COM A EMPRESA CREDILINK INFORMAÇÕES DE CRÉDITO, RELATIVO À PRESTAÇÃO DE CONSULTA DE DADOS CADASTRAIS DE ÂMBITO NACIONAL, VIA WEB SERVICE.</v>
      </c>
      <c r="F239" s="3" t="s">
        <v>236</v>
      </c>
      <c r="G239" s="6" t="str">
        <f>HYPERLINK("http://www8.mpce.mp.br/Empenhos/150001/NE/2024NE000267.pdf","2024NE000267")</f>
        <v>2024NE000267</v>
      </c>
      <c r="H239" s="7">
        <v>785.6</v>
      </c>
      <c r="I239" s="8" t="s">
        <v>237</v>
      </c>
      <c r="J239" s="12" t="s">
        <v>238</v>
      </c>
    </row>
    <row r="240" spans="1:10" ht="76.5" x14ac:dyDescent="0.25">
      <c r="A240" s="2" t="s">
        <v>45</v>
      </c>
      <c r="B240" s="3" t="s">
        <v>357</v>
      </c>
      <c r="C240" s="4" t="str">
        <f>HYPERLINK("http://www8.mpce.mp.br/Dispensa/4572720144.pdf","45727/2014-4")</f>
        <v>45727/2014-4</v>
      </c>
      <c r="D240" s="5">
        <v>45369</v>
      </c>
      <c r="E240" s="9" t="str">
        <f>HYPERLINK("https://www8.mpce.mp.br/Empenhos/150001/Objeto/01-2015.pdf","TAXAS CONDOMINIAIS REF. 18 (DEZOITO) SALAS COMERCIAIS ONDE FUNCIONAM PROMOTORIAS DE JUSTIÇA DE JUAZEIRO DO NORTE, DECON E NÚCLEO DE GÊNERO E TUTELA COLETIVA E DO NÚCLEO DE GÊNERO PRÓ-MULHER, CONF. CONTRATO 001/2015, REF. ABR/2024, POR ESTIMATIVA.")</f>
        <v>TAXAS CONDOMINIAIS REF. 18 (DEZOITO) SALAS COMERCIAIS ONDE FUNCIONAM PROMOTORIAS DE JUSTIÇA DE JUAZEIRO DO NORTE, DECON E NÚCLEO DE GÊNERO E TUTELA COLETIVA E DO NÚCLEO DE GÊNERO PRÓ-MULHER, CONF. CONTRATO 001/2015, REF. ABR/2024, POR ESTIMATIVA.</v>
      </c>
      <c r="F240" s="3" t="s">
        <v>242</v>
      </c>
      <c r="G240" s="6" t="str">
        <f>HYPERLINK("http://www8.mpce.mp.br/Empenhos/150501/NE/2024NE000268.pdf","2024NE000268")</f>
        <v>2024NE000268</v>
      </c>
      <c r="H240" s="7">
        <v>6840</v>
      </c>
      <c r="I240" s="8" t="s">
        <v>226</v>
      </c>
      <c r="J240" s="12" t="s">
        <v>227</v>
      </c>
    </row>
    <row r="241" spans="1:10" ht="51" x14ac:dyDescent="0.25">
      <c r="A241" s="2" t="s">
        <v>45</v>
      </c>
      <c r="B241" s="3" t="s">
        <v>381</v>
      </c>
      <c r="C241" s="4" t="str">
        <f>HYPERLINK("http://www8.mpce.mp.br/Dispensa/146020136.pdf","1460/2013-6")</f>
        <v>1460/2013-6</v>
      </c>
      <c r="D241" s="5">
        <v>45369</v>
      </c>
      <c r="E241" s="9" t="str">
        <f>HYPERLINK("https://www8.mpce.mp.br/Empenhos/150001/Objeto/39-2013.pdf","EMPENHO DO ALUGUEL DO MÊS DE ABRIL  2024, REF. AO IMÓVEL ONDE FUNCIONAS AS PROMOTORIAS DE JUSTIÇA DA COMARCA DE CASCAVEL, RELATIVO AO CONTRATO Nº 039/2013/CPL/PGJ.")</f>
        <v>EMPENHO DO ALUGUEL DO MÊS DE ABRIL  2024, REF. AO IMÓVEL ONDE FUNCIONAS AS PROMOTORIAS DE JUSTIÇA DA COMARCA DE CASCAVEL, RELATIVO AO CONTRATO Nº 039/2013/CPL/PGJ.</v>
      </c>
      <c r="F241" s="3" t="s">
        <v>172</v>
      </c>
      <c r="G241" s="6" t="str">
        <f>HYPERLINK("http://www8.mpce.mp.br/Empenhos/150501/NE/2024NE000269.pdf","2024NE000269")</f>
        <v>2024NE000269</v>
      </c>
      <c r="H241" s="7">
        <v>4341.5600000000004</v>
      </c>
      <c r="I241" s="8" t="s">
        <v>243</v>
      </c>
      <c r="J241" s="12" t="s">
        <v>244</v>
      </c>
    </row>
    <row r="242" spans="1:10" ht="51" x14ac:dyDescent="0.25">
      <c r="A242" s="2" t="s">
        <v>45</v>
      </c>
      <c r="B242" s="3" t="s">
        <v>382</v>
      </c>
      <c r="C242" s="4" t="str">
        <f>HYPERLINK("http://www8.mpce.mp.br/Dispensa/1320920133.pdf","13209/2013-3")</f>
        <v>13209/2013-3</v>
      </c>
      <c r="D242" s="5">
        <v>45369</v>
      </c>
      <c r="E242" s="9" t="str">
        <f>HYPERLINK("https://www8.mpce.mp.br/Empenhos/150001/Objeto/43-2013.pdf","EMPENHO DO ALUGUEL DO MÊS DE ABRIL DE 2024, REF. AO IMÓVEL ONDE FUNCIONAM AS PROMOTORIAS DE JUSTIÇA DA COMARCA DE MORADA NOVA, CONF. CONTRATO Nº 043/2013/CPL/PGJ.")</f>
        <v>EMPENHO DO ALUGUEL DO MÊS DE ABRIL DE 2024, REF. AO IMÓVEL ONDE FUNCIONAM AS PROMOTORIAS DE JUSTIÇA DA COMARCA DE MORADA NOVA, CONF. CONTRATO Nº 043/2013/CPL/PGJ.</v>
      </c>
      <c r="F242" s="3" t="s">
        <v>172</v>
      </c>
      <c r="G242" s="6" t="str">
        <f>HYPERLINK("http://www8.mpce.mp.br/Empenhos/150501/NE/2024NE000270.pdf","2024NE000270")</f>
        <v>2024NE000270</v>
      </c>
      <c r="H242" s="7">
        <v>8150.28</v>
      </c>
      <c r="I242" s="8" t="s">
        <v>188</v>
      </c>
      <c r="J242" s="12" t="s">
        <v>189</v>
      </c>
    </row>
    <row r="243" spans="1:10" ht="51" x14ac:dyDescent="0.25">
      <c r="A243" s="2" t="s">
        <v>45</v>
      </c>
      <c r="B243" s="3" t="s">
        <v>357</v>
      </c>
      <c r="C243" s="4" t="str">
        <f>HYPERLINK("https://transparencia-area-fim.mpce.mp.br/#/consulta/processo/pastadigital/092021000079244","09.2021.00007924-4")</f>
        <v>09.2021.00007924-4</v>
      </c>
      <c r="D243" s="5">
        <v>45369</v>
      </c>
      <c r="E243" s="9" t="str">
        <f>HYPERLINK("https://www8.mpce.mp.br/Empenhos/150001/Objeto/27-2021.pdf","ALUGUEL DO IMÓVEL ONDE FUNCIONA A SEDE DAS PROMOTORIAS DE JUSTIÇA DA COMARCA DE EUSÉBIO, CONF. CONTRATO 027/2021, REF. ABR/2024, POR ESTIMATIVA.")</f>
        <v>ALUGUEL DO IMÓVEL ONDE FUNCIONA A SEDE DAS PROMOTORIAS DE JUSTIÇA DA COMARCA DE EUSÉBIO, CONF. CONTRATO 027/2021, REF. ABR/2024, POR ESTIMATIVA.</v>
      </c>
      <c r="F243" s="3" t="s">
        <v>127</v>
      </c>
      <c r="G243" s="6" t="str">
        <f>HYPERLINK("http://www8.mpce.mp.br/Empenhos/150501/NE/2024NE000271.pdf","2024NE000271")</f>
        <v>2024NE000271</v>
      </c>
      <c r="H243" s="7">
        <v>5546.1</v>
      </c>
      <c r="I243" s="8" t="s">
        <v>155</v>
      </c>
      <c r="J243" s="12" t="s">
        <v>156</v>
      </c>
    </row>
    <row r="244" spans="1:10" ht="51" x14ac:dyDescent="0.25">
      <c r="A244" s="2" t="s">
        <v>45</v>
      </c>
      <c r="B244" s="3" t="s">
        <v>357</v>
      </c>
      <c r="C244" s="4" t="str">
        <f>HYPERLINK("https://transparencia-area-fim.mpce.mp.br/#/consulta/processo/pastadigital/092021000079244","09.2021.00007924-4")</f>
        <v>09.2021.00007924-4</v>
      </c>
      <c r="D244" s="5">
        <v>45369</v>
      </c>
      <c r="E244" s="9" t="str">
        <f>HYPERLINK("https://www8.mpce.mp.br/Empenhos/150001/Objeto/27-2021.pdf","TAXAS CONDOMINIAIS DO IMÓVEL ONDE FUNCIONA A SEDE DAS PROMOTORIAS DE JUSTIÇA DA COMARCA DE EUSÉBIO, CONF. CONTRATO 027/2021, REF. ABR/2024, POR ESTIMATIVA.")</f>
        <v>TAXAS CONDOMINIAIS DO IMÓVEL ONDE FUNCIONA A SEDE DAS PROMOTORIAS DE JUSTIÇA DA COMARCA DE EUSÉBIO, CONF. CONTRATO 027/2021, REF. ABR/2024, POR ESTIMATIVA.</v>
      </c>
      <c r="F244" s="3" t="s">
        <v>242</v>
      </c>
      <c r="G244" s="6" t="str">
        <f>HYPERLINK("http://www8.mpce.mp.br/Empenhos/150501/NE/2024NE000272.pdf","2024NE000272")</f>
        <v>2024NE000272</v>
      </c>
      <c r="H244" s="7">
        <v>1487.88</v>
      </c>
      <c r="I244" s="8" t="s">
        <v>155</v>
      </c>
      <c r="J244" s="12" t="s">
        <v>156</v>
      </c>
    </row>
    <row r="245" spans="1:10" ht="51" x14ac:dyDescent="0.25">
      <c r="A245" s="2" t="s">
        <v>45</v>
      </c>
      <c r="B245" s="3" t="s">
        <v>383</v>
      </c>
      <c r="C245" s="4" t="str">
        <f>HYPERLINK("http://www8.mpce.mp.br/Dispensa/6795020160.pdf","6795020160")</f>
        <v>6795020160</v>
      </c>
      <c r="D245" s="5">
        <v>45369</v>
      </c>
      <c r="E245" s="9" t="str">
        <f>HYPERLINK("https://www8.mpce.mp.br/Empenhos/150001/Objeto/08-2017.pdf"," EMPENHO DO ALUGUEL DO MÊS DE ABRIL DE 2024, REF. AO IMÓVEL ONDE FUNCIONAM AS PROMOTORIAS DE JUSTIÇA DA COMARCA DE JARDIM, RELATIVO AO CONTRATO Nº008/2017/PGJ.")</f>
        <v xml:space="preserve"> EMPENHO DO ALUGUEL DO MÊS DE ABRIL DE 2024, REF. AO IMÓVEL ONDE FUNCIONAM AS PROMOTORIAS DE JUSTIÇA DA COMARCA DE JARDIM, RELATIVO AO CONTRATO Nº008/2017/PGJ.</v>
      </c>
      <c r="F245" s="3" t="s">
        <v>172</v>
      </c>
      <c r="G245" s="6" t="str">
        <f>HYPERLINK("http://www8.mpce.mp.br/Empenhos/150501/NE/2024NE000273.pdf","2024NE000273")</f>
        <v>2024NE000273</v>
      </c>
      <c r="H245" s="7">
        <v>680.03</v>
      </c>
      <c r="I245" s="8" t="s">
        <v>230</v>
      </c>
      <c r="J245" s="12" t="s">
        <v>231</v>
      </c>
    </row>
    <row r="246" spans="1:10" ht="51" x14ac:dyDescent="0.25">
      <c r="A246" s="2" t="s">
        <v>45</v>
      </c>
      <c r="B246" s="3" t="s">
        <v>357</v>
      </c>
      <c r="C246" s="4" t="str">
        <f>HYPERLINK("https://transparencia-area-fim.mpce.mp.br/#/consulta/processo/pastadigital/092021000219739","09.2021.00021973-9")</f>
        <v>09.2021.00021973-9</v>
      </c>
      <c r="D246" s="5">
        <v>45369</v>
      </c>
      <c r="E246" s="9" t="str">
        <f>HYPERLINK("https://www8.mpce.mp.br/Empenhos/150001/Objeto/45-2021.pdf","ALUGUEL DO IMÓVEL ONDE FUNCIONA A SEDE DAS PROMOTORIAS DE JUSTIÇA DA COMARCA DE EUSÉBIO, CONF. CONTRATO 045/2021, REF. ABR/2024, POR ESTIMATIVA.")</f>
        <v>ALUGUEL DO IMÓVEL ONDE FUNCIONA A SEDE DAS PROMOTORIAS DE JUSTIÇA DA COMARCA DE EUSÉBIO, CONF. CONTRATO 045/2021, REF. ABR/2024, POR ESTIMATIVA.</v>
      </c>
      <c r="F246" s="3" t="s">
        <v>127</v>
      </c>
      <c r="G246" s="6" t="str">
        <f>HYPERLINK("http://www8.mpce.mp.br/Empenhos/150501/NE/2024NE000274.pdf","2024NE000274")</f>
        <v>2024NE000274</v>
      </c>
      <c r="H246" s="7">
        <v>1640.35</v>
      </c>
      <c r="I246" s="8" t="s">
        <v>155</v>
      </c>
      <c r="J246" s="12" t="s">
        <v>156</v>
      </c>
    </row>
    <row r="247" spans="1:10" ht="51" x14ac:dyDescent="0.25">
      <c r="A247" s="2" t="s">
        <v>45</v>
      </c>
      <c r="B247" s="3" t="s">
        <v>357</v>
      </c>
      <c r="C247" s="4" t="str">
        <f>HYPERLINK("https://transparencia-area-fim.mpce.mp.br/#/consulta/processo/pastadigital/092021000219739","09.2021.00021973-9")</f>
        <v>09.2021.00021973-9</v>
      </c>
      <c r="D247" s="5">
        <v>45369</v>
      </c>
      <c r="E247" s="9" t="str">
        <f>HYPERLINK("https://www8.mpce.mp.br/Empenhos/150001/Objeto/45-2021.pdf","TAXAS CONDOMINIAIS DO IMÓVEL ONDE FUNCIONA A SEDE DAS PROMOTORIAS DE JUSTIÇA DA COMARCA DE EUSÉBIO, CONF. CONTRATO 045/2021, REF. ABR/2024, POR ESTIMATIVA.")</f>
        <v>TAXAS CONDOMINIAIS DO IMÓVEL ONDE FUNCIONA A SEDE DAS PROMOTORIAS DE JUSTIÇA DA COMARCA DE EUSÉBIO, CONF. CONTRATO 045/2021, REF. ABR/2024, POR ESTIMATIVA.</v>
      </c>
      <c r="F247" s="3" t="s">
        <v>242</v>
      </c>
      <c r="G247" s="6" t="str">
        <f>HYPERLINK("http://www8.mpce.mp.br/Empenhos/150501/NE/2024NE000275.pdf","2024NE000275")</f>
        <v>2024NE000275</v>
      </c>
      <c r="H247" s="7">
        <v>462.49</v>
      </c>
      <c r="I247" s="8" t="s">
        <v>155</v>
      </c>
      <c r="J247" s="12" t="s">
        <v>156</v>
      </c>
    </row>
    <row r="248" spans="1:10" ht="51" x14ac:dyDescent="0.25">
      <c r="A248" s="2" t="s">
        <v>45</v>
      </c>
      <c r="B248" s="3" t="s">
        <v>384</v>
      </c>
      <c r="C248" s="4" t="str">
        <f>HYPERLINK("http://www8.mpce.mp.br/Dispensa/3642820165.pdf","36428/2016-5")</f>
        <v>36428/2016-5</v>
      </c>
      <c r="D248" s="5">
        <v>45369</v>
      </c>
      <c r="E248" s="9" t="str">
        <f>HYPERLINK("https://www8.mpce.mp.br/Empenhos/150001/Objeto/26-2017.pdf","EMPENHO DO ALUGUEL DO MÊS DE ABRIL DE 2024, REF. AO IMÓVEL ONDE FUNCIONAM AS PROMOTORIAS DE JUSTIÇA DA COMARCA DE MARANGUAPE, RELATIVO AO CONTRATO Nº 026/2017/PGJ.")</f>
        <v>EMPENHO DO ALUGUEL DO MÊS DE ABRIL DE 2024, REF. AO IMÓVEL ONDE FUNCIONAM AS PROMOTORIAS DE JUSTIÇA DA COMARCA DE MARANGUAPE, RELATIVO AO CONTRATO Nº 026/2017/PGJ.</v>
      </c>
      <c r="F248" s="3" t="s">
        <v>172</v>
      </c>
      <c r="G248" s="6" t="str">
        <f>HYPERLINK("http://www8.mpce.mp.br/Empenhos/150501/NE/2024NE000276.pdf","2024NE000276")</f>
        <v>2024NE000276</v>
      </c>
      <c r="H248" s="7">
        <v>5518.15</v>
      </c>
      <c r="I248" s="8" t="s">
        <v>216</v>
      </c>
      <c r="J248" s="12" t="s">
        <v>217</v>
      </c>
    </row>
    <row r="249" spans="1:10" ht="51" x14ac:dyDescent="0.25">
      <c r="A249" s="2" t="s">
        <v>20</v>
      </c>
      <c r="B249" s="3" t="s">
        <v>385</v>
      </c>
      <c r="C249" s="4" t="str">
        <f>HYPERLINK("https://transparencia-area-fim.mpce.mp.br/#/consulta/processo/pastadigital/092023000214163","09.2023.00021416-3")</f>
        <v>09.2023.00021416-3</v>
      </c>
      <c r="D249" s="5">
        <v>45369</v>
      </c>
      <c r="E249" s="9" t="str">
        <f>HYPERLINK("https://www8.mpce.mp.br/Empenhos/150001/Objeto/56-2023.pdf","ALUGUEL DO IMÓVEL ONDE FUNCIONA A SEDE DAS PROMOTORIAS DE JUSTIÇA DA COMARCA DE BATURITÉ, CONF. CONTRATO 056/2023, REF. ABR/2024, POR ESTIMATIVA.")</f>
        <v>ALUGUEL DO IMÓVEL ONDE FUNCIONA A SEDE DAS PROMOTORIAS DE JUSTIÇA DA COMARCA DE BATURITÉ, CONF. CONTRATO 056/2023, REF. ABR/2024, POR ESTIMATIVA.</v>
      </c>
      <c r="F249" s="3" t="s">
        <v>127</v>
      </c>
      <c r="G249" s="6" t="str">
        <f>HYPERLINK("http://www8.mpce.mp.br/Empenhos/150501/NE/2024NE000277.pdf","2024NE000277")</f>
        <v>2024NE000277</v>
      </c>
      <c r="H249" s="7">
        <v>5400</v>
      </c>
      <c r="I249" s="8" t="s">
        <v>167</v>
      </c>
      <c r="J249" s="12" t="s">
        <v>168</v>
      </c>
    </row>
    <row r="250" spans="1:10" ht="51" x14ac:dyDescent="0.25">
      <c r="A250" s="2" t="s">
        <v>45</v>
      </c>
      <c r="B250" s="3" t="s">
        <v>386</v>
      </c>
      <c r="C250" s="4" t="str">
        <f>HYPERLINK("http://www8.mpce.mp.br/Dispensa/2150720189.pdf","21507/2018-9")</f>
        <v>21507/2018-9</v>
      </c>
      <c r="D250" s="5">
        <v>45365</v>
      </c>
      <c r="E250" s="9" t="str">
        <f>HYPERLINK("https://www8.mpce.mp.br/Empenhos/150001/Objeto/51-2019.pdf","EMPENHO DO ALUGUEL DO MÊS DE ABRIL DE 2024, REF. AO IMÓVEL ONDE FUNCIONAM AS PROMOTORIAS DE JUSTIÇA DA COMARCA DE VIÇOSA DO CEARÁ, CONF. CONTRATO Nº 051/2019/PGJ.")</f>
        <v>EMPENHO DO ALUGUEL DO MÊS DE ABRIL DE 2024, REF. AO IMÓVEL ONDE FUNCIONAM AS PROMOTORIAS DE JUSTIÇA DA COMARCA DE VIÇOSA DO CEARÁ, CONF. CONTRATO Nº 051/2019/PGJ.</v>
      </c>
      <c r="F250" s="3" t="s">
        <v>172</v>
      </c>
      <c r="G250" s="6" t="str">
        <f>HYPERLINK("http://www8.mpce.mp.br/Empenhos/150501/NE/2024NE000278.pdf","2024NE000278")</f>
        <v>2024NE000278</v>
      </c>
      <c r="H250" s="7">
        <v>2935.71</v>
      </c>
      <c r="I250" s="8" t="s">
        <v>190</v>
      </c>
      <c r="J250" s="12" t="s">
        <v>191</v>
      </c>
    </row>
    <row r="251" spans="1:10" ht="51" x14ac:dyDescent="0.25">
      <c r="A251" s="2" t="s">
        <v>45</v>
      </c>
      <c r="B251" s="3" t="s">
        <v>357</v>
      </c>
      <c r="C251" s="4" t="str">
        <f>HYPERLINK("https://transparencia-area-fim.mpce.mp.br/#/consulta/processo/pastadigital/092022000091296","09.2022.00009129-6")</f>
        <v>09.2022.00009129-6</v>
      </c>
      <c r="D251" s="5">
        <v>45369</v>
      </c>
      <c r="E251" s="9" t="str">
        <f>HYPERLINK("https://www8.mpce.mp.br/Empenhos/150001/Objeto/33-2022.pdf","ALUGUEL DO IMÓVEL ONDE FUNCIONA A SEDE DAS PROMOTORIAS DE JUSTIÇA DA COMARCA DE VÁRZEA ALEGRE, CONF. CONTRATO 033/2022, REF. ABR/2024, POR ESTIMATIVA.")</f>
        <v>ALUGUEL DO IMÓVEL ONDE FUNCIONA A SEDE DAS PROMOTORIAS DE JUSTIÇA DA COMARCA DE VÁRZEA ALEGRE, CONF. CONTRATO 033/2022, REF. ABR/2024, POR ESTIMATIVA.</v>
      </c>
      <c r="F251" s="3" t="s">
        <v>172</v>
      </c>
      <c r="G251" s="6" t="str">
        <f>HYPERLINK("http://www8.mpce.mp.br/Empenhos/150501/NE/2024NE000280.pdf","2024NE000280")</f>
        <v>2024NE000280</v>
      </c>
      <c r="H251" s="7">
        <v>800</v>
      </c>
      <c r="I251" s="8" t="s">
        <v>208</v>
      </c>
      <c r="J251" s="12" t="s">
        <v>209</v>
      </c>
    </row>
    <row r="252" spans="1:10" ht="51" x14ac:dyDescent="0.25">
      <c r="A252" s="2" t="s">
        <v>20</v>
      </c>
      <c r="B252" s="3" t="s">
        <v>387</v>
      </c>
      <c r="C252" s="4" t="str">
        <f>HYPERLINK("https://transparencia-area-fim.mpce.mp.br/#/consulta/processo/pastadigital/092022000371847","09.2022.00037184-7")</f>
        <v>09.2022.00037184-7</v>
      </c>
      <c r="D252" s="5">
        <v>45369</v>
      </c>
      <c r="E252" s="9" t="str">
        <f>HYPERLINK("https://www8.mpce.mp.br/Empenhos/150001/Objeto/44-2023.pdf","ALUGUEL DO IMÓVEL ONDE FUNCIONA A SEDE DAS PROMOTORIAS DE JUSTIÇA DA COMARCA DE MARCO-CE, CONF. CONTRATO 044/2023, REF. ABR/2024, POR ESTIMATIVA.")</f>
        <v>ALUGUEL DO IMÓVEL ONDE FUNCIONA A SEDE DAS PROMOTORIAS DE JUSTIÇA DA COMARCA DE MARCO-CE, CONF. CONTRATO 044/2023, REF. ABR/2024, POR ESTIMATIVA.</v>
      </c>
      <c r="F252" s="3" t="s">
        <v>172</v>
      </c>
      <c r="G252" s="6" t="str">
        <f>HYPERLINK("http://www8.mpce.mp.br/Empenhos/150501/NE/2024NE000281.pdf","2024NE000281")</f>
        <v>2024NE000281</v>
      </c>
      <c r="H252" s="7">
        <v>1200</v>
      </c>
      <c r="I252" s="8" t="s">
        <v>193</v>
      </c>
      <c r="J252" s="12" t="s">
        <v>194</v>
      </c>
    </row>
    <row r="253" spans="1:10" ht="51" x14ac:dyDescent="0.25">
      <c r="A253" s="2" t="s">
        <v>45</v>
      </c>
      <c r="B253" s="3" t="s">
        <v>388</v>
      </c>
      <c r="C253" s="4" t="str">
        <f>HYPERLINK("https://transparencia-area-fim.mpce.mp.br/#/consulta/processo/pastadigital/092021000166790","09.2021.00016679-0")</f>
        <v>09.2021.00016679-0</v>
      </c>
      <c r="D253" s="5">
        <v>45369</v>
      </c>
      <c r="E253" s="9" t="str">
        <f>HYPERLINK("https://www8.mpce.mp.br/Empenhos/150001/Objeto/24-2022.pdf","ALUGUEL DO IMÓVEL ONDE FUNCIONA A SEDE DAS PROMOTORIAS DE JUSTIÇA DA COMARCA DE HORIZONTE, CONF. CONTRATO 024/2022, REF. ABR/2024, POR ESTIMATIVA.")</f>
        <v>ALUGUEL DO IMÓVEL ONDE FUNCIONA A SEDE DAS PROMOTORIAS DE JUSTIÇA DA COMARCA DE HORIZONTE, CONF. CONTRATO 024/2022, REF. ABR/2024, POR ESTIMATIVA.</v>
      </c>
      <c r="F253" s="3" t="s">
        <v>172</v>
      </c>
      <c r="G253" s="6" t="str">
        <f>HYPERLINK("http://www8.mpce.mp.br/Empenhos/150501/NE/2024NE000283.pdf","2024NE000283")</f>
        <v>2024NE000283</v>
      </c>
      <c r="H253" s="7">
        <v>2400</v>
      </c>
      <c r="I253" s="8" t="s">
        <v>220</v>
      </c>
      <c r="J253" s="12" t="s">
        <v>221</v>
      </c>
    </row>
    <row r="254" spans="1:10" ht="51" x14ac:dyDescent="0.25">
      <c r="A254" s="2" t="s">
        <v>45</v>
      </c>
      <c r="B254" s="3" t="s">
        <v>389</v>
      </c>
      <c r="C254" s="4" t="str">
        <f>HYPERLINK("http://www8.mpce.mp.br/Dispensa/2330020195.pdf","23300/2019-5")</f>
        <v>23300/2019-5</v>
      </c>
      <c r="D254" s="5">
        <v>45369</v>
      </c>
      <c r="E254" s="9" t="str">
        <f>HYPERLINK("https://www8.mpce.mp.br/Empenhos/150001/Objeto/61-2019.pdf","EMPENHO DO ALUGUEL DO MÊS DE ABRIL DE 2024, REF. AO IMÓVEL ONDE FUNCIONAM AS PROMOTORIAS DE JUSTIÇA DA COMARCA DE ACARAÚ EM CONSONÂNCIA AO CONTRATO 061/2019/PGJ.")</f>
        <v>EMPENHO DO ALUGUEL DO MÊS DE ABRIL DE 2024, REF. AO IMÓVEL ONDE FUNCIONAM AS PROMOTORIAS DE JUSTIÇA DA COMARCA DE ACARAÚ EM CONSONÂNCIA AO CONTRATO 061/2019/PGJ.</v>
      </c>
      <c r="F254" s="3" t="s">
        <v>172</v>
      </c>
      <c r="G254" s="6" t="str">
        <f>HYPERLINK("http://www8.mpce.mp.br/Empenhos/150501/NE/2024NE000284.pdf","2024NE000284")</f>
        <v>2024NE000284</v>
      </c>
      <c r="H254" s="7">
        <v>1400</v>
      </c>
      <c r="I254" s="8" t="s">
        <v>184</v>
      </c>
      <c r="J254" s="12" t="s">
        <v>185</v>
      </c>
    </row>
    <row r="255" spans="1:10" ht="51" x14ac:dyDescent="0.25">
      <c r="A255" s="2" t="s">
        <v>45</v>
      </c>
      <c r="B255" s="3" t="s">
        <v>390</v>
      </c>
      <c r="C255" s="4" t="str">
        <f>HYPERLINK("https://transparencia-area-fim.mpce.mp.br/#/consulta/processo/pastadigital/092021000047808","09.2021.00004780-8")</f>
        <v>09.2021.00004780-8</v>
      </c>
      <c r="D255" s="5">
        <v>45369</v>
      </c>
      <c r="E255" s="9" t="str">
        <f>HYPERLINK("https://www8.mpce.mp.br/Empenhos/150001/Objeto/25-2021.pdf","EMPENHO DO ALUGUEL DO MÊS DE ABRIL DE 2024, REF. AO IMÓVEL ONDE FUNCIONAM AS PROMOTORIAS DE JUSTIÇA DA COMARCA DE ALTO SANTO, EM CONSONÂNCIA AO CONTRATO 025/2021/PGJ.")</f>
        <v>EMPENHO DO ALUGUEL DO MÊS DE ABRIL DE 2024, REF. AO IMÓVEL ONDE FUNCIONAM AS PROMOTORIAS DE JUSTIÇA DA COMARCA DE ALTO SANTO, EM CONSONÂNCIA AO CONTRATO 025/2021/PGJ.</v>
      </c>
      <c r="F255" s="3" t="s">
        <v>172</v>
      </c>
      <c r="G255" s="6" t="str">
        <f>HYPERLINK("http://www8.mpce.mp.br/Empenhos/150501/NE/2024NE000285.pdf","2024NE000285")</f>
        <v>2024NE000285</v>
      </c>
      <c r="H255" s="7">
        <v>1651.15</v>
      </c>
      <c r="I255" s="8" t="s">
        <v>218</v>
      </c>
      <c r="J255" s="12" t="s">
        <v>219</v>
      </c>
    </row>
    <row r="256" spans="1:10" ht="51" x14ac:dyDescent="0.25">
      <c r="A256" s="2" t="s">
        <v>45</v>
      </c>
      <c r="B256" s="3" t="s">
        <v>391</v>
      </c>
      <c r="C256" s="4" t="str">
        <f>HYPERLINK("https://transparencia-area-fim.mpce.mp.br/#/consulta/processo/pastadigital/092021000121226","09.2021.00012122-6")</f>
        <v>09.2021.00012122-6</v>
      </c>
      <c r="D256" s="5">
        <v>45369</v>
      </c>
      <c r="E256" s="9" t="str">
        <f>HYPERLINK("https://www8.mpce.mp.br/Empenhos/150001/Objeto/34-2021.pdf","EMPENHO DO ALUGUEL DO MÊS DE ABRIL DE 2024, REF. AO IMÓVEL ONDE FUNCIONAM AS PROMOTORIAS DE JUSTIÇA DA COMARCA DE SÃO BENEDITO, EM ALUSÃO AO CONTRATO Nº 034/2021/PGJ.")</f>
        <v>EMPENHO DO ALUGUEL DO MÊS DE ABRIL DE 2024, REF. AO IMÓVEL ONDE FUNCIONAM AS PROMOTORIAS DE JUSTIÇA DA COMARCA DE SÃO BENEDITO, EM ALUSÃO AO CONTRATO Nº 034/2021/PGJ.</v>
      </c>
      <c r="F256" s="3" t="s">
        <v>172</v>
      </c>
      <c r="G256" s="6" t="str">
        <f>HYPERLINK("http://www8.mpce.mp.br/Empenhos/150501/NE/2024NE000286.pdf","2024NE000286")</f>
        <v>2024NE000286</v>
      </c>
      <c r="H256" s="7">
        <v>2823.27</v>
      </c>
      <c r="I256" s="8" t="s">
        <v>204</v>
      </c>
      <c r="J256" s="12" t="s">
        <v>205</v>
      </c>
    </row>
    <row r="257" spans="1:10" ht="51" x14ac:dyDescent="0.25">
      <c r="A257" s="2" t="s">
        <v>45</v>
      </c>
      <c r="B257" s="3" t="s">
        <v>392</v>
      </c>
      <c r="C257" s="4" t="str">
        <f>HYPERLINK("https://transparencia-area-fim.mpce.mp.br/#/consulta/processo/pastadigital/092022000264193","09.2022.00026419-3")</f>
        <v>09.2022.00026419-3</v>
      </c>
      <c r="D257" s="5">
        <v>45369</v>
      </c>
      <c r="E257" s="9" t="str">
        <f>HYPERLINK("https://www8.mpce.mp.br/Empenhos/150001/Objeto/28-2022.pdf","EMPENHO DO ALUGUEL DO MÊS DE ABRIL DE 2024, REF.AO IMÓVEL ONDE FUNCIONAM AS PROMOTORIAS DE JUSTIÇA DA COMARCA DE AURORA, EM CONFORMIDADE AO CONTRATO Nº 028/2022/PGJ.")</f>
        <v>EMPENHO DO ALUGUEL DO MÊS DE ABRIL DE 2024, REF.AO IMÓVEL ONDE FUNCIONAM AS PROMOTORIAS DE JUSTIÇA DA COMARCA DE AURORA, EM CONFORMIDADE AO CONTRATO Nº 028/2022/PGJ.</v>
      </c>
      <c r="F257" s="3" t="s">
        <v>172</v>
      </c>
      <c r="G257" s="6" t="str">
        <f>HYPERLINK("http://www8.mpce.mp.br/Empenhos/150501/NE/2024NE000287.pdf","2024NE000287")</f>
        <v>2024NE000287</v>
      </c>
      <c r="H257" s="7">
        <v>2000</v>
      </c>
      <c r="I257" s="8" t="s">
        <v>212</v>
      </c>
      <c r="J257" s="12" t="s">
        <v>213</v>
      </c>
    </row>
    <row r="258" spans="1:10" ht="51" x14ac:dyDescent="0.25">
      <c r="A258" s="2" t="s">
        <v>45</v>
      </c>
      <c r="B258" s="3" t="s">
        <v>393</v>
      </c>
      <c r="C258" s="4" t="str">
        <f>HYPERLINK("https://transparencia-area-fim.mpce.mp.br/#/consulta/processo/pastadigital/092022000276145","09.2022.00027614-5")</f>
        <v>09.2022.00027614-5</v>
      </c>
      <c r="D258" s="5">
        <v>45369</v>
      </c>
      <c r="E258" s="9" t="str">
        <f>HYPERLINK("https://www8.mpce.mp.br/Empenhos/150001/Objeto/36-2022.pdf","EMPENHO DO ALUGUEL DO MÊS DE ABRIL DE 2024, REF. AO IMÓVEL ONDE FUNCIONAM AS PROMOTORIAS DE JUSTIÇA DA COMARCA DE ARARIPE, EM CONFORMIDADE AO CONTRATO Nº 036/2022/PGJ.")</f>
        <v>EMPENHO DO ALUGUEL DO MÊS DE ABRIL DE 2024, REF. AO IMÓVEL ONDE FUNCIONAM AS PROMOTORIAS DE JUSTIÇA DA COMARCA DE ARARIPE, EM CONFORMIDADE AO CONTRATO Nº 036/2022/PGJ.</v>
      </c>
      <c r="F258" s="3" t="s">
        <v>172</v>
      </c>
      <c r="G258" s="6" t="str">
        <f>HYPERLINK("http://www8.mpce.mp.br/Empenhos/150501/NE/2024NE000288.pdf","2024NE000288")</f>
        <v>2024NE000288</v>
      </c>
      <c r="H258" s="7">
        <v>1500</v>
      </c>
      <c r="I258" s="8" t="s">
        <v>202</v>
      </c>
      <c r="J258" s="12" t="s">
        <v>203</v>
      </c>
    </row>
    <row r="259" spans="1:10" ht="51" x14ac:dyDescent="0.25">
      <c r="A259" s="2" t="s">
        <v>45</v>
      </c>
      <c r="B259" s="3" t="s">
        <v>394</v>
      </c>
      <c r="C259" s="4" t="str">
        <f>HYPERLINK("https://transparencia-area-fim.mpce.mp.br/#/consulta/processo/pastadigital/092022000110511","09.2022.00011051-1")</f>
        <v>09.2022.00011051-1</v>
      </c>
      <c r="D259" s="5">
        <v>45369</v>
      </c>
      <c r="E259" s="9" t="str">
        <f>HYPERLINK("https://www8.mpce.mp.br/Empenhos/150001/Objeto/38-2022.pdf","EMPENHO DO ALUGUEL DO MÊS DE ABRIL DE 2024, REF. AO IMÓVEL ONDE FUNCIONAM AS PROMOTORIAS DE JUSTIÇA DA COMARCA DE NOVA OLINDA, EM ALUSÃO AO CONTRATO Nº 038/2022/PGJ.")</f>
        <v>EMPENHO DO ALUGUEL DO MÊS DE ABRIL DE 2024, REF. AO IMÓVEL ONDE FUNCIONAM AS PROMOTORIAS DE JUSTIÇA DA COMARCA DE NOVA OLINDA, EM ALUSÃO AO CONTRATO Nº 038/2022/PGJ.</v>
      </c>
      <c r="F259" s="3" t="s">
        <v>172</v>
      </c>
      <c r="G259" s="6" t="str">
        <f>HYPERLINK("http://www8.mpce.mp.br/Empenhos/150501/NE/2024NE000289.pdf","2024NE000289")</f>
        <v>2024NE000289</v>
      </c>
      <c r="H259" s="7">
        <v>2000</v>
      </c>
      <c r="I259" s="8" t="s">
        <v>240</v>
      </c>
      <c r="J259" s="12" t="s">
        <v>241</v>
      </c>
    </row>
    <row r="260" spans="1:10" ht="51" x14ac:dyDescent="0.25">
      <c r="A260" s="2" t="s">
        <v>20</v>
      </c>
      <c r="B260" s="3" t="s">
        <v>395</v>
      </c>
      <c r="C260" s="4" t="str">
        <f>HYPERLINK("https://transparencia-area-fim.mpce.mp.br/#/consulta/processo/pastadigital/092022000426227","09.2022.00042622-7")</f>
        <v>09.2022.00042622-7</v>
      </c>
      <c r="D260" s="5">
        <v>45369</v>
      </c>
      <c r="E260" s="9" t="str">
        <f>HYPERLINK("https://www8.mpce.mp.br/Empenhos/150001/Objeto/33-2023.pdf","EMPENHO DO ALUGUEL DO MÊS DE ABRIL DE 2024, REF. AO IMÓVEL ONDE FUNCIONAM AS PROMOTORIAS DE JUSTIÇA DA COMARCA DE JUCÁS RELATIVO AO CONTRATO 033/2023/PGJ.")</f>
        <v>EMPENHO DO ALUGUEL DO MÊS DE ABRIL DE 2024, REF. AO IMÓVEL ONDE FUNCIONAM AS PROMOTORIAS DE JUSTIÇA DA COMARCA DE JUCÁS RELATIVO AO CONTRATO 033/2023/PGJ.</v>
      </c>
      <c r="F260" s="3" t="s">
        <v>172</v>
      </c>
      <c r="G260" s="6" t="str">
        <f>HYPERLINK("http://www8.mpce.mp.br/Empenhos/150501/NE/2024NE000290.pdf","2024NE000290")</f>
        <v>2024NE000290</v>
      </c>
      <c r="H260" s="7">
        <v>2500</v>
      </c>
      <c r="I260" s="8" t="s">
        <v>206</v>
      </c>
      <c r="J260" s="12" t="s">
        <v>207</v>
      </c>
    </row>
    <row r="261" spans="1:10" ht="51" x14ac:dyDescent="0.25">
      <c r="A261" s="2" t="s">
        <v>20</v>
      </c>
      <c r="B261" s="3" t="s">
        <v>320</v>
      </c>
      <c r="C261" s="4" t="str">
        <f>HYPERLINK("https://transparencia-area-fim.mpce.mp.br/#/consulta/processo/pastadigital/092022000083885","09.2022.00008388-5")</f>
        <v>09.2022.00008388-5</v>
      </c>
      <c r="D261" s="5">
        <v>45369</v>
      </c>
      <c r="E261" s="9" t="str">
        <f>HYPERLINK("https://www8.mpce.mp.br/Empenhos/150001/Objeto/36-2023.pdf","EMPENHO DO ALUGUEL DO MÊS DE ABRIL DE 2024, REF. AO IMÓVEL ONDE FUNCIONAM AS PROMOTORIAS DE JUSTIÇA DA COMARCA DE SOLONÓPOLE, RELATIVO AO CONTRATO Nº 036/2023/PGJ.")</f>
        <v>EMPENHO DO ALUGUEL DO MÊS DE ABRIL DE 2024, REF. AO IMÓVEL ONDE FUNCIONAM AS PROMOTORIAS DE JUSTIÇA DA COMARCA DE SOLONÓPOLE, RELATIVO AO CONTRATO Nº 036/2023/PGJ.</v>
      </c>
      <c r="F261" s="3" t="s">
        <v>172</v>
      </c>
      <c r="G261" s="6" t="str">
        <f>HYPERLINK("http://www8.mpce.mp.br/Empenhos/150501/NE/2024NE000291.pdf","2024NE000291")</f>
        <v>2024NE000291</v>
      </c>
      <c r="H261" s="7">
        <v>3897.24</v>
      </c>
      <c r="I261" s="8" t="s">
        <v>199</v>
      </c>
      <c r="J261" s="12" t="s">
        <v>200</v>
      </c>
    </row>
    <row r="262" spans="1:10" ht="51" x14ac:dyDescent="0.25">
      <c r="A262" s="2" t="s">
        <v>20</v>
      </c>
      <c r="B262" s="3" t="s">
        <v>396</v>
      </c>
      <c r="C262" s="4" t="str">
        <f>HYPERLINK("https://transparencia-area-fim.mpce.mp.br/#/consulta/processo/pastadigital/092022000409094","09.2022.00040909-4")</f>
        <v>09.2022.00040909-4</v>
      </c>
      <c r="D262" s="5">
        <v>45369</v>
      </c>
      <c r="E262" s="9" t="str">
        <f>HYPERLINK("https://www8.mpce.mp.br/Empenhos/150001/Objeto/41-2023.pdf","EMPENHO DO ALUGUEL DO MÊS DE ABRIL DE 2024, REF. AO IMÓVEL ONDE FUNCIONAM AS PROMOTORIAS DE JUSTIÇA DA COMARCA DE GUARACIABA DO NORTE, RELATIVO AO CONTRATO Nº 041/2023/PGJ.")</f>
        <v>EMPENHO DO ALUGUEL DO MÊS DE ABRIL DE 2024, REF. AO IMÓVEL ONDE FUNCIONAM AS PROMOTORIAS DE JUSTIÇA DA COMARCA DE GUARACIABA DO NORTE, RELATIVO AO CONTRATO Nº 041/2023/PGJ.</v>
      </c>
      <c r="F262" s="3" t="s">
        <v>172</v>
      </c>
      <c r="G262" s="6" t="str">
        <f>HYPERLINK("http://www8.mpce.mp.br/Empenhos/150501/NE/2024NE000292.pdf","2024NE000292")</f>
        <v>2024NE000292</v>
      </c>
      <c r="H262" s="7">
        <v>1550</v>
      </c>
      <c r="I262" s="8" t="s">
        <v>195</v>
      </c>
      <c r="J262" s="12" t="s">
        <v>196</v>
      </c>
    </row>
    <row r="263" spans="1:10" ht="51" x14ac:dyDescent="0.25">
      <c r="A263" s="2" t="s">
        <v>45</v>
      </c>
      <c r="B263" s="3" t="s">
        <v>357</v>
      </c>
      <c r="C263" s="4" t="str">
        <f>HYPERLINK("http://www8.mpce.mp.br/Dispensa/2004820193.pdf","20048/2019-3")</f>
        <v>20048/2019-3</v>
      </c>
      <c r="D263" s="5">
        <v>45369</v>
      </c>
      <c r="E263" s="9" t="str">
        <f>HYPERLINK("https://www8.mpce.mp.br/Empenhos/150001/Objeto/84-2019.pdf","ALUGUEL DO MÓVEL ONDE FUNCIONA A SEDE DAS PROMOTORIAS DE JUSTIÇA DA COMARCA DE MOMBAÇA-CE, CONF. CONTRATO 084/2019, REF. ABR/2024, POR ESTIMATIVA.")</f>
        <v>ALUGUEL DO MÓVEL ONDE FUNCIONA A SEDE DAS PROMOTORIAS DE JUSTIÇA DA COMARCA DE MOMBAÇA-CE, CONF. CONTRATO 084/2019, REF. ABR/2024, POR ESTIMATIVA.</v>
      </c>
      <c r="F263" s="3" t="s">
        <v>172</v>
      </c>
      <c r="G263" s="6" t="str">
        <f>HYPERLINK("http://www8.mpce.mp.br/Empenhos/150501/NE/2024NE000293.pdf","2024NE000293")</f>
        <v>2024NE000293</v>
      </c>
      <c r="H263" s="7">
        <v>4000</v>
      </c>
      <c r="I263" s="8" t="s">
        <v>173</v>
      </c>
      <c r="J263" s="12" t="s">
        <v>174</v>
      </c>
    </row>
    <row r="264" spans="1:10" ht="51" x14ac:dyDescent="0.25">
      <c r="A264" s="2" t="s">
        <v>45</v>
      </c>
      <c r="B264" s="3" t="s">
        <v>357</v>
      </c>
      <c r="C264" s="4" t="str">
        <f>HYPERLINK("http://www8.mpce.mp.br/Dispensa/1955220197.pdf","19552/2019-7")</f>
        <v>19552/2019-7</v>
      </c>
      <c r="D264" s="5">
        <v>45369</v>
      </c>
      <c r="E264" s="9" t="str">
        <f>HYPERLINK("https://www8.mpce.mp.br/Empenhos/150001/Objeto/85-2019.pdf","ALUGUEL DO IMÓVEL ONDE FUNCIONA A SEDE DAS PROMOTORIAS DE JUSTIÇA DA COMARCA DE PARAIPABA, CONF. CONTRATO 085/2019, REF. ABR/2024, POR ESTIMATIVA.")</f>
        <v>ALUGUEL DO IMÓVEL ONDE FUNCIONA A SEDE DAS PROMOTORIAS DE JUSTIÇA DA COMARCA DE PARAIPABA, CONF. CONTRATO 085/2019, REF. ABR/2024, POR ESTIMATIVA.</v>
      </c>
      <c r="F264" s="3" t="s">
        <v>172</v>
      </c>
      <c r="G264" s="6" t="str">
        <f>HYPERLINK("http://www8.mpce.mp.br/Empenhos/150501/NE/2024NE000294.pdf","2024NE000294")</f>
        <v>2024NE000294</v>
      </c>
      <c r="H264" s="7">
        <v>1306.7</v>
      </c>
      <c r="I264" s="8" t="s">
        <v>197</v>
      </c>
      <c r="J264" s="12" t="s">
        <v>198</v>
      </c>
    </row>
    <row r="265" spans="1:10" ht="51" x14ac:dyDescent="0.25">
      <c r="A265" s="2" t="s">
        <v>45</v>
      </c>
      <c r="B265" s="3" t="s">
        <v>357</v>
      </c>
      <c r="C265" s="4" t="str">
        <f>HYPERLINK("http://www8.mpce.mp.br/Dispensa/4503020176.pdf","45030/2017-6")</f>
        <v>45030/2017-6</v>
      </c>
      <c r="D265" s="5">
        <v>45369</v>
      </c>
      <c r="E265" s="9" t="str">
        <f>HYPERLINK("https://www8.mpce.mp.br/Empenhos/150001/Objeto/74-2019.pdf","ALUGUEL DO IMÓVEL ONDE FUNCIONA A SEDE DAS PROMOTORIAS DE JUSTIÇA DA COMARCA DE GRANJA, CONF. CONTRATO 074/2019, REF. ABR/2024, POR ESTIMATIVA.")</f>
        <v>ALUGUEL DO IMÓVEL ONDE FUNCIONA A SEDE DAS PROMOTORIAS DE JUSTIÇA DA COMARCA DE GRANJA, CONF. CONTRATO 074/2019, REF. ABR/2024, POR ESTIMATIVA.</v>
      </c>
      <c r="F265" s="3" t="s">
        <v>172</v>
      </c>
      <c r="G265" s="6" t="str">
        <f>HYPERLINK("http://www8.mpce.mp.br/Empenhos/150501/NE/2024NE000295.pdf","2024NE000295")</f>
        <v>2024NE000295</v>
      </c>
      <c r="H265" s="7">
        <v>2188.0100000000002</v>
      </c>
      <c r="I265" s="8" t="s">
        <v>247</v>
      </c>
      <c r="J265" s="12" t="s">
        <v>248</v>
      </c>
    </row>
    <row r="266" spans="1:10" ht="51" x14ac:dyDescent="0.25">
      <c r="A266" s="2" t="s">
        <v>45</v>
      </c>
      <c r="B266" s="3" t="s">
        <v>357</v>
      </c>
      <c r="C266" s="4" t="str">
        <f>HYPERLINK("http://www8.mpce.mp.br/Dispensa/2887720171.pdf","28877/2017-1")</f>
        <v>28877/2017-1</v>
      </c>
      <c r="D266" s="5">
        <v>45369</v>
      </c>
      <c r="E266" s="9" t="str">
        <f>HYPERLINK("https://www8.mpce.mp.br/Empenhos/150001/Objeto/24-2019.pdf","ALUGUEL DO IMÓVEL ONDE FUNCIONA A SEDE DAS PROMOTORIAS DE JUSTIÇA DA COMARCA DE JAGUARIBE, CONF. CONTRATO 024/2019, REF. MAR/2024, POR ESTIMATIVA.")</f>
        <v>ALUGUEL DO IMÓVEL ONDE FUNCIONA A SEDE DAS PROMOTORIAS DE JUSTIÇA DA COMARCA DE JAGUARIBE, CONF. CONTRATO 024/2019, REF. MAR/2024, POR ESTIMATIVA.</v>
      </c>
      <c r="F266" s="3" t="s">
        <v>127</v>
      </c>
      <c r="G266" s="6" t="str">
        <f>HYPERLINK("http://www8.mpce.mp.br/Empenhos/150501/NE/2024NE000296.pdf","2024NE000296")</f>
        <v>2024NE000296</v>
      </c>
      <c r="H266" s="7">
        <v>1431.35</v>
      </c>
      <c r="I266" s="8" t="s">
        <v>151</v>
      </c>
      <c r="J266" s="12" t="s">
        <v>152</v>
      </c>
    </row>
    <row r="267" spans="1:10" ht="51" x14ac:dyDescent="0.25">
      <c r="A267" s="2" t="s">
        <v>45</v>
      </c>
      <c r="B267" s="3" t="s">
        <v>357</v>
      </c>
      <c r="C267" s="4" t="str">
        <f>HYPERLINK("http://www8.mpce.mp.br/Dispensa/2887720171.pdf","28877/2017-1")</f>
        <v>28877/2017-1</v>
      </c>
      <c r="D267" s="5">
        <v>45369</v>
      </c>
      <c r="E267" s="9" t="str">
        <f>HYPERLINK("https://www8.mpce.mp.br/Empenhos/150001/Objeto/24-2019.pdf","ALUGUEL DO IMÓVEL ONDE FUNCIONA A SEDE DAS PROMOTORIAS DE JUSTIÇA DA COMARCA DE JAGUARIBE, CONF. CONTRATO 024/2019, REF. ABR/2024, POR ESTIMATIVA.")</f>
        <v>ALUGUEL DO IMÓVEL ONDE FUNCIONA A SEDE DAS PROMOTORIAS DE JUSTIÇA DA COMARCA DE JAGUARIBE, CONF. CONTRATO 024/2019, REF. ABR/2024, POR ESTIMATIVA.</v>
      </c>
      <c r="F267" s="3" t="s">
        <v>127</v>
      </c>
      <c r="G267" s="6" t="str">
        <f>HYPERLINK("http://www8.mpce.mp.br/Empenhos/150501/NE/2024NE000297.pdf","2024NE000297")</f>
        <v>2024NE000297</v>
      </c>
      <c r="H267" s="7">
        <v>1431.35</v>
      </c>
      <c r="I267" s="8" t="s">
        <v>151</v>
      </c>
      <c r="J267" s="12" t="s">
        <v>152</v>
      </c>
    </row>
    <row r="268" spans="1:10" ht="51" x14ac:dyDescent="0.25">
      <c r="A268" s="2" t="s">
        <v>20</v>
      </c>
      <c r="B268" s="3" t="s">
        <v>397</v>
      </c>
      <c r="C268" s="4" t="str">
        <f>HYPERLINK("https://transparencia-area-fim.mpce.mp.br/#/consulta/processo/pastadigital/092024000011043","09.2024.00001104-3")</f>
        <v>09.2024.00001104-3</v>
      </c>
      <c r="D268" s="5">
        <v>45351</v>
      </c>
      <c r="E268" s="9" t="s">
        <v>398</v>
      </c>
      <c r="F268" s="3" t="s">
        <v>399</v>
      </c>
      <c r="G268" s="6" t="str">
        <f>HYPERLINK("http://www8.mpce.mp.br/Empenhos/150001/NE/2024NE000297.pdf","2024NE000297")</f>
        <v>2024NE000297</v>
      </c>
      <c r="H268" s="7">
        <v>24000</v>
      </c>
      <c r="I268" s="8" t="s">
        <v>400</v>
      </c>
      <c r="J268" s="12" t="s">
        <v>401</v>
      </c>
    </row>
    <row r="269" spans="1:10" ht="63.75" x14ac:dyDescent="0.25">
      <c r="A269" s="2" t="s">
        <v>20</v>
      </c>
      <c r="B269" s="3" t="s">
        <v>402</v>
      </c>
      <c r="C269" s="4" t="str">
        <f>HYPERLINK("https://transparencia-area-fim.mpce.mp.br/#/consulta/processo/pastadigital/092023000396910","09.2023.00039691-0")</f>
        <v>09.2023.00039691-0</v>
      </c>
      <c r="D269" s="5">
        <v>45369</v>
      </c>
      <c r="E269" s="9" t="str">
        <f>HYPERLINK("https://www8.mpce.mp.br/Empenhos/150001/Objeto/19-2024.pdf","FORNECIMENTO DE 700 (SETECENTAS) LICENÇAS DE ACESSO À PLATAFORMA ON-LINE DE CURSOS DE APERFEIÇOAMENTO/TREINAMENTO ESPECIALIZADO, CONF. PROC. DE INEXIGIBILIDADE 09.2023.00039691-0 E PROJETO 067/2023, REF. 2024.")</f>
        <v>FORNECIMENTO DE 700 (SETECENTAS) LICENÇAS DE ACESSO À PLATAFORMA ON-LINE DE CURSOS DE APERFEIÇOAMENTO/TREINAMENTO ESPECIALIZADO, CONF. PROC. DE INEXIGIBILIDADE 09.2023.00039691-0 E PROJETO 067/2023, REF. 2024.</v>
      </c>
      <c r="F269" s="3" t="s">
        <v>120</v>
      </c>
      <c r="G269" s="6" t="str">
        <f>HYPERLINK("http://www8.mpce.mp.br/Empenhos/150501/NE/2024NE000301.pdf","2024NE000301")</f>
        <v>2024NE000301</v>
      </c>
      <c r="H269" s="7">
        <v>682500</v>
      </c>
      <c r="I269" s="8" t="s">
        <v>403</v>
      </c>
      <c r="J269" s="12" t="s">
        <v>404</v>
      </c>
    </row>
    <row r="270" spans="1:10" ht="51" x14ac:dyDescent="0.25">
      <c r="A270" s="2" t="s">
        <v>45</v>
      </c>
      <c r="B270" s="3" t="s">
        <v>357</v>
      </c>
      <c r="C270" s="4" t="str">
        <f>HYPERLINK("https://transparencia-area-fim.mpce.mp.br/#/consulta/processo/pastadigital/092021000155016","09.2021.00015501-6")</f>
        <v>09.2021.00015501-6</v>
      </c>
      <c r="D270" s="5">
        <v>45369</v>
      </c>
      <c r="E270" s="9" t="str">
        <f>HYPERLINK("https://www8.mpce.mp.br/Empenhos/150001/Objeto/26-2021.pdf","ALUGUEL DO IMÓVEL ONDE FUNCIONA A SEDE DAS PROMOTORIAS DE JUSTIÇA DA COMARCA DE BREJO SANTO, CONF. CONTRATO 026/2021, REF. ABR/2024, POR ESTIMATIVA.")</f>
        <v>ALUGUEL DO IMÓVEL ONDE FUNCIONA A SEDE DAS PROMOTORIAS DE JUSTIÇA DA COMARCA DE BREJO SANTO, CONF. CONTRATO 026/2021, REF. ABR/2024, POR ESTIMATIVA.</v>
      </c>
      <c r="F270" s="3" t="s">
        <v>172</v>
      </c>
      <c r="G270" s="6" t="str">
        <f>HYPERLINK("http://www8.mpce.mp.br/Empenhos/150501/NE/2024NE000303.pdf","2024NE000303")</f>
        <v>2024NE000303</v>
      </c>
      <c r="H270" s="7">
        <v>2601.5500000000002</v>
      </c>
      <c r="I270" s="8" t="s">
        <v>214</v>
      </c>
      <c r="J270" s="12" t="s">
        <v>215</v>
      </c>
    </row>
    <row r="271" spans="1:10" ht="51" x14ac:dyDescent="0.25">
      <c r="A271" s="2" t="s">
        <v>45</v>
      </c>
      <c r="B271" s="3" t="s">
        <v>357</v>
      </c>
      <c r="C271" s="4" t="str">
        <f>HYPERLINK("http://www8.mpce.mp.br/Dispensa/146020136.pdf","1460/2013-6")</f>
        <v>1460/2013-6</v>
      </c>
      <c r="D271" s="5">
        <v>45373</v>
      </c>
      <c r="E271" s="9" t="str">
        <f>HYPERLINK("https://www8.mpce.mp.br/Empenhos/150001/Objeto/39-2013.pdf","ALUGUEL DO IMÓVEL ONDE FUNCIONA A SEDE DAS PROMOTORIAS DE JUSTIÇA DA COMARCA DE CASCAVEL, CONF. CONTRATO 039/2013, REF. FEV E MAR/2024, POR ESTIMATIVA.")</f>
        <v>ALUGUEL DO IMÓVEL ONDE FUNCIONA A SEDE DAS PROMOTORIAS DE JUSTIÇA DA COMARCA DE CASCAVEL, CONF. CONTRATO 039/2013, REF. FEV E MAR/2024, POR ESTIMATIVA.</v>
      </c>
      <c r="F271" s="3" t="s">
        <v>172</v>
      </c>
      <c r="G271" s="6" t="str">
        <f>HYPERLINK("http://www8.mpce.mp.br/Empenhos/150501/NE/2024NE000309.pdf","2024NE000309")</f>
        <v>2024NE000309</v>
      </c>
      <c r="H271" s="7">
        <v>8683.1200000000008</v>
      </c>
      <c r="I271" s="8" t="s">
        <v>243</v>
      </c>
      <c r="J271" s="12" t="s">
        <v>244</v>
      </c>
    </row>
    <row r="272" spans="1:10" ht="51" x14ac:dyDescent="0.25">
      <c r="A272" s="2" t="s">
        <v>45</v>
      </c>
      <c r="B272" s="3" t="s">
        <v>405</v>
      </c>
      <c r="C272" s="4" t="str">
        <f>HYPERLINK("http://www8.mpce.mp.br/Dispensa/4572720144.pdf","45727/2014-4")</f>
        <v>45727/2014-4</v>
      </c>
      <c r="D272" s="5">
        <v>45377</v>
      </c>
      <c r="E272" s="9" t="str">
        <f>HYPERLINK("https://www8.mpce.mp.br/Empenhos/150001/Objeto/01-2015.pdf","RETROATIVO DAS TAXAS CONDOMINIAIS DOS MESES DE JANEIRO A MARÇO DE 2024, REF. AO IMÓVEL ONDE FUNCIONAM AS PROMOTORIAS DE JUSTIÇA DA COMARCA DE JUAZEIRO DO NORTE, CONF. CONTRATO Nº 001/2015.")</f>
        <v>RETROATIVO DAS TAXAS CONDOMINIAIS DOS MESES DE JANEIRO A MARÇO DE 2024, REF. AO IMÓVEL ONDE FUNCIONAM AS PROMOTORIAS DE JUSTIÇA DA COMARCA DE JUAZEIRO DO NORTE, CONF. CONTRATO Nº 001/2015.</v>
      </c>
      <c r="F272" s="3" t="s">
        <v>242</v>
      </c>
      <c r="G272" s="6" t="str">
        <f>HYPERLINK("http://www8.mpce.mp.br/Empenhos/150501/NE/2024NE000315.pdf","2024NE000315")</f>
        <v>2024NE000315</v>
      </c>
      <c r="H272" s="7">
        <v>3780</v>
      </c>
      <c r="I272" s="8" t="s">
        <v>226</v>
      </c>
      <c r="J272" s="12" t="s">
        <v>227</v>
      </c>
    </row>
    <row r="273" spans="1:10" ht="51" x14ac:dyDescent="0.25">
      <c r="A273" s="2" t="s">
        <v>45</v>
      </c>
      <c r="B273" s="3" t="s">
        <v>406</v>
      </c>
      <c r="C273" s="4" t="str">
        <f>HYPERLINK("http://www8.mpce.mp.br/Dispensa/3642820165.pdf","36428/2016-5")</f>
        <v>36428/2016-5</v>
      </c>
      <c r="D273" s="5">
        <v>45377</v>
      </c>
      <c r="E273" s="9" t="str">
        <f>HYPERLINK("https://www8.mpce.mp.br/Empenhos/150001/Objeto/26-2017.pdf","RETROATIVO DE ALUGUÉIS, APÓS SUA MAJORAÇÃO, REF. AO IMÓVEL ONDE FUNCIONAM AS PROMOTORIAS DE JUSTIÇA DA COMARCA DE MARANGUAPE  DOS MESES DE JANEIRO A MARÇO DE 2024, CONF. CONTRATO Nº 026/2017.")</f>
        <v>RETROATIVO DE ALUGUÉIS, APÓS SUA MAJORAÇÃO, REF. AO IMÓVEL ONDE FUNCIONAM AS PROMOTORIAS DE JUSTIÇA DA COMARCA DE MARANGUAPE  DOS MESES DE JANEIRO A MARÇO DE 2024, CONF. CONTRATO Nº 026/2017.</v>
      </c>
      <c r="F273" s="3" t="s">
        <v>172</v>
      </c>
      <c r="G273" s="6" t="str">
        <f>HYPERLINK("http://www8.mpce.mp.br/Empenhos/150501/NE/2024NE000316.pdf","2024NE000316")</f>
        <v>2024NE000316</v>
      </c>
      <c r="H273" s="7">
        <v>2071.71</v>
      </c>
      <c r="I273" s="8" t="s">
        <v>216</v>
      </c>
      <c r="J273" s="12" t="s">
        <v>217</v>
      </c>
    </row>
    <row r="274" spans="1:10" ht="76.5" x14ac:dyDescent="0.25">
      <c r="A274" s="2" t="s">
        <v>45</v>
      </c>
      <c r="B274" s="3" t="s">
        <v>407</v>
      </c>
      <c r="C274" s="4" t="str">
        <f>HYPERLINK("http://www8.mpce.mp.br/Dispensa/1291020194.pdf","12910/2019-4")</f>
        <v>12910/2019-4</v>
      </c>
      <c r="D274" s="5">
        <v>45378</v>
      </c>
      <c r="E274" s="9" t="s">
        <v>408</v>
      </c>
      <c r="F274" s="3" t="s">
        <v>264</v>
      </c>
      <c r="G274" s="6" t="str">
        <f>HYPERLINK("http://www8.mpce.mp.br/Empenhos/150501/NE/2024NE000317.pdf","2024NE000317")</f>
        <v>2024NE000317</v>
      </c>
      <c r="H274" s="7">
        <v>222.16</v>
      </c>
      <c r="I274" s="8" t="s">
        <v>159</v>
      </c>
      <c r="J274" s="12" t="s">
        <v>160</v>
      </c>
    </row>
    <row r="275" spans="1:10" ht="51" x14ac:dyDescent="0.25">
      <c r="A275" s="2" t="s">
        <v>45</v>
      </c>
      <c r="B275" s="3" t="s">
        <v>409</v>
      </c>
      <c r="C275" s="4" t="str">
        <f>HYPERLINK("https://transparencia-area-fim.mpce.mp.br/#/consulta/processo/pastadigital/092021000157125","09.2021.00015712-5")</f>
        <v>09.2021.00015712-5</v>
      </c>
      <c r="D275" s="5">
        <v>45384</v>
      </c>
      <c r="E275" s="9" t="str">
        <f>HYPERLINK("https://www8.mpce.mp.br/Empenhos/150001/Objeto/32-2021.pdf","SEGURO DE VIDA DOS 720 (SETECENTOS E VINTE) ESTAGIÁRIOS DO MPCE, CONF. CONTRATO 032/2021 E PROJETO 027/2023, REF. ABR, MAI E JUN/2024, POR ESTIMATIVA. ")</f>
        <v xml:space="preserve">SEGURO DE VIDA DOS 720 (SETECENTOS E VINTE) ESTAGIÁRIOS DO MPCE, CONF. CONTRATO 032/2021 E PROJETO 027/2023, REF. ABR, MAI E JUN/2024, POR ESTIMATIVA. </v>
      </c>
      <c r="F275" s="3" t="s">
        <v>72</v>
      </c>
      <c r="G275" s="6" t="str">
        <f>HYPERLINK("http://www8.mpce.mp.br/Empenhos/150501/NE/2024NE000319.pdf","2024NE000319")</f>
        <v>2024NE000319</v>
      </c>
      <c r="H275" s="7">
        <v>410.4</v>
      </c>
      <c r="I275" s="8" t="s">
        <v>49</v>
      </c>
      <c r="J275" s="12" t="s">
        <v>50</v>
      </c>
    </row>
    <row r="276" spans="1:10" ht="51" x14ac:dyDescent="0.25">
      <c r="A276" s="2" t="s">
        <v>45</v>
      </c>
      <c r="B276" s="3" t="s">
        <v>414</v>
      </c>
      <c r="C276" s="4" t="str">
        <f>HYPERLINK("http://www8.mpce.mp.br/Dispensa/2826420164.pdf","28264/2016-4")</f>
        <v>28264/2016-4</v>
      </c>
      <c r="D276" s="5">
        <v>45385</v>
      </c>
      <c r="E276" s="9" t="str">
        <f>HYPERLINK("https://www8.mpce.mp.br/Empenhos/150001/Objeto/26-2016.pdf","EMPENHO DE IPTU/2024, REFERENTE A 2ª PARCELA DO IMÓVEL ONDE FUNCIONAM OS CENTROS DE APOIO E INVESTIGAÇÃO, LOCALIZADO À AVENIDA ANTÔNIO SALES, 1740, DIONÍSIO TORRES, CONF. CONTRATO Nº 026/2016.")</f>
        <v>EMPENHO DE IPTU/2024, REFERENTE A 2ª PARCELA DO IMÓVEL ONDE FUNCIONAM OS CENTROS DE APOIO E INVESTIGAÇÃO, LOCALIZADO À AVENIDA ANTÔNIO SALES, 1740, DIONÍSIO TORRES, CONF. CONTRATO Nº 026/2016.</v>
      </c>
      <c r="F276" s="3" t="s">
        <v>264</v>
      </c>
      <c r="G276" s="6" t="str">
        <f>HYPERLINK("http://www8.mpce.mp.br/Empenhos/150501/NE/2024NE000320.pdf","2024NE000320")</f>
        <v>2024NE000320</v>
      </c>
      <c r="H276" s="7">
        <v>3155.01</v>
      </c>
      <c r="I276" s="8" t="s">
        <v>153</v>
      </c>
      <c r="J276" s="12" t="s">
        <v>154</v>
      </c>
    </row>
    <row r="277" spans="1:10" ht="63.75" x14ac:dyDescent="0.25">
      <c r="A277" s="2" t="s">
        <v>20</v>
      </c>
      <c r="B277" s="3" t="s">
        <v>410</v>
      </c>
      <c r="C277" s="4" t="str">
        <f>HYPERLINK("https://transparencia-area-fim.mpce.mp.br/#/consulta/processo/pastadigital/092024000019624","09.2024.00001962-4")</f>
        <v>09.2024.00001962-4</v>
      </c>
      <c r="D277" s="5">
        <v>45350</v>
      </c>
      <c r="E277" s="9" t="s">
        <v>411</v>
      </c>
      <c r="F277" s="3" t="s">
        <v>399</v>
      </c>
      <c r="G277" s="6" t="str">
        <f>HYPERLINK("http://www8.mpce.mp.br/Empenhos/150001/NE/2024NE000320.pdf","2024NE000320")</f>
        <v>2024NE000320</v>
      </c>
      <c r="H277" s="7">
        <v>7350</v>
      </c>
      <c r="I277" s="8" t="s">
        <v>412</v>
      </c>
      <c r="J277" s="12" t="s">
        <v>413</v>
      </c>
    </row>
    <row r="278" spans="1:10" ht="51" x14ac:dyDescent="0.25">
      <c r="A278" s="2" t="s">
        <v>20</v>
      </c>
      <c r="B278" s="3" t="s">
        <v>415</v>
      </c>
      <c r="C278" s="4" t="str">
        <f>HYPERLINK("https://transparencia-area-fim.mpce.mp.br/#/consulta/processo/pastadigital/092021000000456","09.2021.00000045-6")</f>
        <v>09.2021.00000045-6</v>
      </c>
      <c r="D278" s="5">
        <v>45386</v>
      </c>
      <c r="E278" s="9" t="str">
        <f>HYPERLINK("https://www8.mpce.mp.br/Empenhos/150001/Objeto/02-2021.pdf","PRESTAÇÃO DE SERVIÇO DE SUPORTE TÉCNICO DA SOLUÇÃO GUARDIÃO WEB-BY NGC, RELATIVO AOS MESES ABRIL, MAIO E JUNHO DE 2024, CONF. CONTRATO 002/2021/PGJ E PROJETO Nº 019/2023.")</f>
        <v>PRESTAÇÃO DE SERVIÇO DE SUPORTE TÉCNICO DA SOLUÇÃO GUARDIÃO WEB-BY NGC, RELATIVO AOS MESES ABRIL, MAIO E JUNHO DE 2024, CONF. CONTRATO 002/2021/PGJ E PROJETO Nº 019/2023.</v>
      </c>
      <c r="F278" s="3" t="s">
        <v>71</v>
      </c>
      <c r="G278" s="6" t="str">
        <f>HYPERLINK("http://www8.mpce.mp.br/Empenhos/150501/NE/2024NE000321.pdf","2024NE000321")</f>
        <v>2024NE000321</v>
      </c>
      <c r="H278" s="7">
        <v>54790.38</v>
      </c>
      <c r="I278" s="8" t="s">
        <v>33</v>
      </c>
      <c r="J278" s="12" t="s">
        <v>34</v>
      </c>
    </row>
    <row r="279" spans="1:10" ht="51" x14ac:dyDescent="0.25">
      <c r="A279" s="2" t="s">
        <v>45</v>
      </c>
      <c r="B279" s="3" t="s">
        <v>416</v>
      </c>
      <c r="C279" s="4" t="str">
        <f>HYPERLINK("http://www8.mpce.mp.br/Dispensa/1291020194.pdf","12910/2019-4")</f>
        <v>12910/2019-4</v>
      </c>
      <c r="D279" s="5">
        <v>45386</v>
      </c>
      <c r="E279" s="9" t="str">
        <f>HYPERLINK("https://www8.mpce.mp.br/Empenhos/150001/Objeto/39-2019.pdf","REEMBOLSO DE IPTU DO IMÓVEL ONDE FUNCIONA A SEDE DAS PROMOTORIAS DE JUSTIÇA DA INFÂNCIA E JUVENTUDE, CONF. CONTRATO 039/2019, REF. 1ª E 2ª PARCELAS, BEM COMO 5 DIAS PROPORCIONAIS DA 3ª PARCELA DE 2024.")</f>
        <v>REEMBOLSO DE IPTU DO IMÓVEL ONDE FUNCIONA A SEDE DAS PROMOTORIAS DE JUSTIÇA DA INFÂNCIA E JUVENTUDE, CONF. CONTRATO 039/2019, REF. 1ª E 2ª PARCELAS, BEM COMO 5 DIAS PROPORCIONAIS DA 3ª PARCELA DE 2024.</v>
      </c>
      <c r="F279" s="3" t="s">
        <v>264</v>
      </c>
      <c r="G279" s="6" t="str">
        <f>HYPERLINK("http://www8.mpce.mp.br/Empenhos/150501/NE/2024NE000323.pdf","2024NE000323")</f>
        <v>2024NE000323</v>
      </c>
      <c r="H279" s="7">
        <v>352.24</v>
      </c>
      <c r="I279" s="8" t="s">
        <v>159</v>
      </c>
      <c r="J279" s="12" t="s">
        <v>160</v>
      </c>
    </row>
    <row r="280" spans="1:10" ht="89.25" x14ac:dyDescent="0.25">
      <c r="A280" s="2" t="s">
        <v>45</v>
      </c>
      <c r="B280" s="3" t="s">
        <v>417</v>
      </c>
      <c r="C280" s="4" t="str">
        <f>HYPERLINK("http://www8.mpce.mp.br/Dispensa/3657120162.pdf","3657120162")</f>
        <v>3657120162</v>
      </c>
      <c r="D280" s="5">
        <v>45387</v>
      </c>
      <c r="E280" s="9" t="s">
        <v>418</v>
      </c>
      <c r="F280" s="3" t="s">
        <v>419</v>
      </c>
      <c r="G280" s="6" t="str">
        <f>HYPERLINK("http://www8.mpce.mp.br/Empenhos/150501/NE/2024NE000325.pdf","2024NE000325")</f>
        <v>2024NE000325</v>
      </c>
      <c r="H280" s="7">
        <v>57.09</v>
      </c>
      <c r="I280" s="8" t="s">
        <v>224</v>
      </c>
      <c r="J280" s="12" t="s">
        <v>225</v>
      </c>
    </row>
    <row r="281" spans="1:10" ht="63.75" x14ac:dyDescent="0.25">
      <c r="A281" s="2" t="s">
        <v>45</v>
      </c>
      <c r="B281" s="3" t="s">
        <v>420</v>
      </c>
      <c r="C281" s="4" t="str">
        <f>HYPERLINK("https://transparencia-area-fim.mpce.mp.br/#/consulta/processo/pastadigital/092021000349974","09.2021.00034997-4")</f>
        <v>09.2021.00034997-4</v>
      </c>
      <c r="D281" s="5">
        <v>45390</v>
      </c>
      <c r="E281" s="9" t="str">
        <f>HYPERLINK("https://www8.mpce.mp.br/Empenhos/150001/Objeto/01-2022.pdf","DISPONIBILIZAÇÃO DE SOLUÇÃO TÉCNOLÓGICA (SAAS) MULTICANAL PARA ATENDIMENTO E GERENCIAMENTO DO RELACIONAMENTO COMO USUÁRIO, DISPONIBILIZAÇÃO E AUTOMAÇÃO DE SERVIÇO, REF. AO MÊS DE ABRIL DE 2024, CONF. CONTRATO Nº 001/2022 E PROJETO Nº 52/2023.")</f>
        <v>DISPONIBILIZAÇÃO DE SOLUÇÃO TÉCNOLÓGICA (SAAS) MULTICANAL PARA ATENDIMENTO E GERENCIAMENTO DO RELACIONAMENTO COMO USUÁRIO, DISPONIBILIZAÇÃO E AUTOMAÇÃO DE SERVIÇO, REF. AO MÊS DE ABRIL DE 2024, CONF. CONTRATO Nº 001/2022 E PROJETO Nº 52/2023.</v>
      </c>
      <c r="F281" s="3" t="s">
        <v>262</v>
      </c>
      <c r="G281" s="6" t="str">
        <f>HYPERLINK("http://www8.mpce.mp.br/Empenhos/150501/NE/2024NE000329.pdf","2024NE000329")</f>
        <v>2024NE000329</v>
      </c>
      <c r="H281" s="7">
        <v>13800</v>
      </c>
      <c r="I281" s="8" t="s">
        <v>255</v>
      </c>
      <c r="J281" s="12" t="s">
        <v>256</v>
      </c>
    </row>
    <row r="282" spans="1:10" ht="63.75" x14ac:dyDescent="0.25">
      <c r="A282" s="2" t="s">
        <v>45</v>
      </c>
      <c r="B282" s="3" t="s">
        <v>420</v>
      </c>
      <c r="C282" s="4" t="str">
        <f>HYPERLINK("https://transparencia-area-fim.mpce.mp.br/#/consulta/processo/pastadigital/092021000349974","09.2021.00034997-4")</f>
        <v>09.2021.00034997-4</v>
      </c>
      <c r="D282" s="5">
        <v>45390</v>
      </c>
      <c r="E282" s="9" t="str">
        <f>HYPERLINK("https://www8.mpce.mp.br/Empenhos/150001/Objeto/01-2022.pdf","DISPONIBILIZAÇÃO DE SOLUÇÃO TÉCNOLÓGICA (SAAS) MULTICANAL PARA ATENDIMENTO E GERENCIAMENTO DO RELACIONAMENTO COMO USUÁRIO, DISPONIBILIZAÇÃO E AUTOMAÇÃO DE SERVIÇO, REF. AO MÊS DE ABRIL DE 2024, CONF. CONTRATO Nº 001/2022 E PROJETO Nº 52/2023.")</f>
        <v>DISPONIBILIZAÇÃO DE SOLUÇÃO TÉCNOLÓGICA (SAAS) MULTICANAL PARA ATENDIMENTO E GERENCIAMENTO DO RELACIONAMENTO COMO USUÁRIO, DISPONIBILIZAÇÃO E AUTOMAÇÃO DE SERVIÇO, REF. AO MÊS DE ABRIL DE 2024, CONF. CONTRATO Nº 001/2022 E PROJETO Nº 52/2023.</v>
      </c>
      <c r="F282" s="3" t="s">
        <v>262</v>
      </c>
      <c r="G282" s="6" t="str">
        <f>HYPERLINK("http://www8.mpce.mp.br/Empenhos/150501/NE/2024NE000329.pdf","2024NE000329")</f>
        <v>2024NE000329</v>
      </c>
      <c r="H282" s="7">
        <v>13800</v>
      </c>
      <c r="I282" s="8" t="s">
        <v>255</v>
      </c>
      <c r="J282" s="12" t="s">
        <v>256</v>
      </c>
    </row>
    <row r="283" spans="1:10" ht="63.75" x14ac:dyDescent="0.25">
      <c r="A283" s="2" t="s">
        <v>45</v>
      </c>
      <c r="B283" s="3" t="s">
        <v>420</v>
      </c>
      <c r="C283" s="4" t="str">
        <f>HYPERLINK("https://transparencia-area-fim.mpce.mp.br/#/consulta/processo/pastadigital/092021000349974","09.2021.00034997-4")</f>
        <v>09.2021.00034997-4</v>
      </c>
      <c r="D283" s="5">
        <v>45390</v>
      </c>
      <c r="E283" s="9" t="str">
        <f>HYPERLINK("https://www8.mpce.mp.br/Empenhos/150001/Objeto/01-2022.pdf","DISPONIBILIZAÇÃO DE SOLUÇÃO TÉCNOLÓGICA (SAAS) MULTICANAL PARA ATENDIMENTO E GERENCIAMENTO DO RELACIONAMENTO COMO USUÁRIO, DISPONIBILIZAÇÃO E AUTOMAÇÃO DE SERVIÇO, REF. AO MÊS DE ABRIL DE 2024, CONF. CONTRATO Nº 001/2022 E PROJETO Nº 52/2023.")</f>
        <v>DISPONIBILIZAÇÃO DE SOLUÇÃO TÉCNOLÓGICA (SAAS) MULTICANAL PARA ATENDIMENTO E GERENCIAMENTO DO RELACIONAMENTO COMO USUÁRIO, DISPONIBILIZAÇÃO E AUTOMAÇÃO DE SERVIÇO, REF. AO MÊS DE ABRIL DE 2024, CONF. CONTRATO Nº 001/2022 E PROJETO Nº 52/2023.</v>
      </c>
      <c r="F283" s="3" t="s">
        <v>262</v>
      </c>
      <c r="G283" s="6" t="str">
        <f>HYPERLINK("http://www8.mpce.mp.br/Empenhos/150501/NE/2024NE000329.pdf","2024NE000329")</f>
        <v>2024NE000329</v>
      </c>
      <c r="H283" s="7">
        <v>13800</v>
      </c>
      <c r="I283" s="8" t="s">
        <v>255</v>
      </c>
      <c r="J283" s="12" t="s">
        <v>256</v>
      </c>
    </row>
    <row r="284" spans="1:10" ht="63.75" x14ac:dyDescent="0.25">
      <c r="A284" s="2" t="s">
        <v>45</v>
      </c>
      <c r="B284" s="3" t="s">
        <v>420</v>
      </c>
      <c r="C284" s="4" t="str">
        <f>HYPERLINK("https://transparencia-area-fim.mpce.mp.br/#/consulta/processo/pastadigital/092021000349974","09.2021.00034997-4")</f>
        <v>09.2021.00034997-4</v>
      </c>
      <c r="D284" s="5">
        <v>45390</v>
      </c>
      <c r="E284" s="9" t="str">
        <f>HYPERLINK("https://www8.mpce.mp.br/Empenhos/150001/Objeto/01-2022.pdf","DISPONIBILIZAÇÃO DE SOLUÇÃO TÉCNOLÓGICA (SAAS) MULTICANAL PARA ATENDIMENTO E GERENCIAMENTO DO RELACIONAMENTO COMO USUÁRIO, DISPONIBILIZAÇÃO E AUTOMAÇÃO DE SERVIÇO, REF. AO MÊS DE ABRIL DE 2024, CONF. CONTRATO Nº 001/2022 E PROJETO Nº 52/2023.")</f>
        <v>DISPONIBILIZAÇÃO DE SOLUÇÃO TÉCNOLÓGICA (SAAS) MULTICANAL PARA ATENDIMENTO E GERENCIAMENTO DO RELACIONAMENTO COMO USUÁRIO, DISPONIBILIZAÇÃO E AUTOMAÇÃO DE SERVIÇO, REF. AO MÊS DE ABRIL DE 2024, CONF. CONTRATO Nº 001/2022 E PROJETO Nº 52/2023.</v>
      </c>
      <c r="F284" s="3" t="s">
        <v>262</v>
      </c>
      <c r="G284" s="6" t="str">
        <f>HYPERLINK("http://www8.mpce.mp.br/Empenhos/150501/NE/2024NE000329.pdf","2024NE000329")</f>
        <v>2024NE000329</v>
      </c>
      <c r="H284" s="7">
        <v>13800</v>
      </c>
      <c r="I284" s="8" t="s">
        <v>255</v>
      </c>
      <c r="J284" s="12" t="s">
        <v>256</v>
      </c>
    </row>
    <row r="285" spans="1:10" ht="38.25" x14ac:dyDescent="0.25">
      <c r="A285" s="2" t="s">
        <v>45</v>
      </c>
      <c r="B285" s="3" t="s">
        <v>421</v>
      </c>
      <c r="C285" s="4" t="str">
        <f>HYPERLINK("http://www8.mpce.mp.br/Dispensa/3072520194.pdf","30725/2019-4")</f>
        <v>30725/2019-4</v>
      </c>
      <c r="D285" s="5">
        <v>45390</v>
      </c>
      <c r="E285" s="9" t="str">
        <f>HYPERLINK("https://www8.mpce.mp.br/Empenhos/150001/Objeto/06-2020.pdf","LINK DE DADOS, SERVIÇO DE NUVEM E HORAS IMPRODUTIVAS , REF. AO MÊS DE ABRIL DE 2024, CONF. CONTRATO Nº 006/2020 E PROJETO Nº 052/2023.")</f>
        <v>LINK DE DADOS, SERVIÇO DE NUVEM E HORAS IMPRODUTIVAS , REF. AO MÊS DE ABRIL DE 2024, CONF. CONTRATO Nº 006/2020 E PROJETO Nº 052/2023.</v>
      </c>
      <c r="F285" s="3" t="s">
        <v>254</v>
      </c>
      <c r="G285" s="6" t="str">
        <f>HYPERLINK("http://www8.mpce.mp.br/Empenhos/150501/NE/2024NE000330.pdf","2024NE000330")</f>
        <v>2024NE000330</v>
      </c>
      <c r="H285" s="7">
        <v>22563.68</v>
      </c>
      <c r="I285" s="8" t="s">
        <v>255</v>
      </c>
      <c r="J285" s="12" t="s">
        <v>256</v>
      </c>
    </row>
    <row r="286" spans="1:10" ht="51" x14ac:dyDescent="0.25">
      <c r="A286" s="2" t="s">
        <v>45</v>
      </c>
      <c r="B286" s="3" t="s">
        <v>422</v>
      </c>
      <c r="C286" s="4" t="str">
        <f>HYPERLINK("https://transparencia-area-fim.mpce.mp.br/#/consulta/processo/pastadigital/092022000111032","09.2022.00011103-2")</f>
        <v>09.2022.00011103-2</v>
      </c>
      <c r="D286" s="5">
        <v>45390</v>
      </c>
      <c r="E286" s="9" t="str">
        <f>HYPERLINK("https://www8.mpce.mp.br/Empenhos/150001/Objeto/23-2022.pdf","PROVIMENTO DE RECURSOS EM NUVEM, SERVIÇOS TÉCNICOS ESPECIALIZADOS E LINK DEDICADO PARA A NUVEM, REF. AO MÊS DE ABRIL DE 2024, CONF. CONTRATO Nº 023/2022 E PROJETO Nº 52/2023.")</f>
        <v>PROVIMENTO DE RECURSOS EM NUVEM, SERVIÇOS TÉCNICOS ESPECIALIZADOS E LINK DEDICADO PARA A NUVEM, REF. AO MÊS DE ABRIL DE 2024, CONF. CONTRATO Nº 023/2022 E PROJETO Nº 52/2023.</v>
      </c>
      <c r="F286" s="3" t="s">
        <v>254</v>
      </c>
      <c r="G286" s="6" t="str">
        <f>HYPERLINK("http://www8.mpce.mp.br/Empenhos/150501/NE/2024NE000331.pdf","2024NE000331")</f>
        <v>2024NE000331</v>
      </c>
      <c r="H286" s="7">
        <v>45000</v>
      </c>
      <c r="I286" s="8" t="s">
        <v>255</v>
      </c>
      <c r="J286" s="12" t="s">
        <v>256</v>
      </c>
    </row>
    <row r="287" spans="1:10" ht="51" x14ac:dyDescent="0.25">
      <c r="A287" s="2" t="s">
        <v>45</v>
      </c>
      <c r="B287" s="3" t="s">
        <v>422</v>
      </c>
      <c r="C287" s="4" t="str">
        <f>HYPERLINK("https://transparencia-area-fim.mpce.mp.br/#/consulta/processo/pastadigital/092022000111032","09.2022.00011103-2")</f>
        <v>09.2022.00011103-2</v>
      </c>
      <c r="D287" s="5">
        <v>45390</v>
      </c>
      <c r="E287" s="9" t="str">
        <f>HYPERLINK("https://www8.mpce.mp.br/Empenhos/150001/Objeto/23-2022.pdf","PROVIMENTO DE RECURSOS EM NUVEM, SERVIÇOS TÉCNICOS ESPECIALIZADOS E LINK DEDICADO PARA A NUVEM, REF. AO MÊS DE ABRIL DE 2024, CONF. CONTRATO Nº 023/2022 E PROJETO Nº 52/2023.")</f>
        <v>PROVIMENTO DE RECURSOS EM NUVEM, SERVIÇOS TÉCNICOS ESPECIALIZADOS E LINK DEDICADO PARA A NUVEM, REF. AO MÊS DE ABRIL DE 2024, CONF. CONTRATO Nº 023/2022 E PROJETO Nº 52/2023.</v>
      </c>
      <c r="F287" s="3" t="s">
        <v>254</v>
      </c>
      <c r="G287" s="6" t="str">
        <f>HYPERLINK("http://www8.mpce.mp.br/Empenhos/150501/NE/2024NE000331.pdf","2024NE000331")</f>
        <v>2024NE000331</v>
      </c>
      <c r="H287" s="7">
        <v>45000</v>
      </c>
      <c r="I287" s="8" t="s">
        <v>255</v>
      </c>
      <c r="J287" s="12" t="s">
        <v>256</v>
      </c>
    </row>
    <row r="288" spans="1:10" ht="51" x14ac:dyDescent="0.25">
      <c r="A288" s="2" t="s">
        <v>45</v>
      </c>
      <c r="B288" s="3" t="s">
        <v>422</v>
      </c>
      <c r="C288" s="4" t="str">
        <f>HYPERLINK("https://transparencia-area-fim.mpce.mp.br/#/consulta/processo/pastadigital/092022000111032","09.2022.00011103-2")</f>
        <v>09.2022.00011103-2</v>
      </c>
      <c r="D288" s="5">
        <v>45390</v>
      </c>
      <c r="E288" s="9" t="str">
        <f>HYPERLINK("https://www8.mpce.mp.br/Empenhos/150001/Objeto/23-2022.pdf","PROVIMENTO DE RECURSOS EM NUVEM, SERVIÇOS TÉCNICOS ESPECIALIZADOS E LINK DEDICADO PARA A NUVEM, REF. AO MÊS DE ABRIL DE 2024, CONF. CONTRATO Nº 023/2022 E PROJETO Nº 52/2023.")</f>
        <v>PROVIMENTO DE RECURSOS EM NUVEM, SERVIÇOS TÉCNICOS ESPECIALIZADOS E LINK DEDICADO PARA A NUVEM, REF. AO MÊS DE ABRIL DE 2024, CONF. CONTRATO Nº 023/2022 E PROJETO Nº 52/2023.</v>
      </c>
      <c r="F288" s="3" t="s">
        <v>254</v>
      </c>
      <c r="G288" s="6" t="str">
        <f>HYPERLINK("http://www8.mpce.mp.br/Empenhos/150501/NE/2024NE000331.pdf","2024NE000331")</f>
        <v>2024NE000331</v>
      </c>
      <c r="H288" s="7">
        <v>45000</v>
      </c>
      <c r="I288" s="8" t="s">
        <v>255</v>
      </c>
      <c r="J288" s="12" t="s">
        <v>256</v>
      </c>
    </row>
    <row r="289" spans="1:10" ht="89.25" x14ac:dyDescent="0.25">
      <c r="A289" s="2" t="s">
        <v>45</v>
      </c>
      <c r="B289" s="3" t="s">
        <v>423</v>
      </c>
      <c r="C289" s="4" t="str">
        <f>HYPERLINK("https://transparencia-area-fim.mpce.mp.br/#/consulta/processo/pastadigital/092023000117363","09.2023.00011736-3")</f>
        <v>09.2023.00011736-3</v>
      </c>
      <c r="D289" s="5">
        <v>45390</v>
      </c>
      <c r="E289" s="9" t="s">
        <v>424</v>
      </c>
      <c r="F289" s="3" t="s">
        <v>262</v>
      </c>
      <c r="G289" s="6" t="str">
        <f>HYPERLINK("http://www8.mpce.mp.br/Empenhos/150501/NE/2024NE000332.pdf","2024NE000332")</f>
        <v>2024NE000332</v>
      </c>
      <c r="H289" s="7">
        <v>6216.42</v>
      </c>
      <c r="I289" s="8" t="s">
        <v>255</v>
      </c>
      <c r="J289" s="12" t="s">
        <v>256</v>
      </c>
    </row>
    <row r="290" spans="1:10" ht="127.5" x14ac:dyDescent="0.25">
      <c r="A290" s="2" t="s">
        <v>20</v>
      </c>
      <c r="B290" s="3" t="s">
        <v>425</v>
      </c>
      <c r="C290" s="4" t="str">
        <f>HYPERLINK("https://transparencia-area-fim.mpce.mp.br/#/consulta/processo/pastadigital/092023000079630","09.2023.00007963-0")</f>
        <v>09.2023.00007963-0</v>
      </c>
      <c r="D290" s="5">
        <v>45393</v>
      </c>
      <c r="E290" s="9" t="s">
        <v>426</v>
      </c>
      <c r="F290" s="3" t="s">
        <v>120</v>
      </c>
      <c r="G290" s="6" t="str">
        <f>HYPERLINK("http://www8.mpce.mp.br/Empenhos/150501/NE/2024NE000334.pdf","2024NE000334")</f>
        <v>2024NE000334</v>
      </c>
      <c r="H290" s="7">
        <v>65600</v>
      </c>
      <c r="I290" s="8" t="s">
        <v>124</v>
      </c>
      <c r="J290" s="12" t="s">
        <v>125</v>
      </c>
    </row>
    <row r="291" spans="1:10" ht="51" x14ac:dyDescent="0.25">
      <c r="A291" s="2" t="s">
        <v>45</v>
      </c>
      <c r="B291" s="3" t="s">
        <v>427</v>
      </c>
      <c r="C291" s="4" t="str">
        <f>HYPERLINK("https://transparencia-area-fim.mpce.mp.br/#/consulta/processo/pastadigital/092020000096883","09.2020.00009688-3")</f>
        <v>09.2020.00009688-3</v>
      </c>
      <c r="D291" s="5">
        <v>45391</v>
      </c>
      <c r="E291" s="9" t="str">
        <f>HYPERLINK("https://www8.mpce.mp.br/Empenhos/150001/Objeto/28-2020.pdf","SERVIÇOS DE SUPORTE E FORNECIMENTO DOS SERVIÇOS COMPUTACIONAIS DA PLATAFORMA GOOGLE MAPS, CONF. CONTRATO 028/2020, REF. ABR, MAI E JUN/2024, POR ESTIMATIVA.")</f>
        <v>SERVIÇOS DE SUPORTE E FORNECIMENTO DOS SERVIÇOS COMPUTACIONAIS DA PLATAFORMA GOOGLE MAPS, CONF. CONTRATO 028/2020, REF. ABR, MAI E JUN/2024, POR ESTIMATIVA.</v>
      </c>
      <c r="F291" s="3" t="s">
        <v>82</v>
      </c>
      <c r="G291" s="6" t="str">
        <f>HYPERLINK("http://www8.mpce.mp.br/Empenhos/150501/NE/2024NE000340.pdf","2024NE000340")</f>
        <v>2024NE000340</v>
      </c>
      <c r="H291" s="7">
        <v>900</v>
      </c>
      <c r="I291" s="8" t="s">
        <v>272</v>
      </c>
      <c r="J291" s="12" t="s">
        <v>273</v>
      </c>
    </row>
    <row r="292" spans="1:10" ht="38.25" x14ac:dyDescent="0.25">
      <c r="A292" s="2" t="s">
        <v>20</v>
      </c>
      <c r="B292" s="3" t="s">
        <v>428</v>
      </c>
      <c r="C292" s="4" t="str">
        <f>HYPERLINK("https://transparencia-area-fim.mpce.mp.br/#/consulta/processo/pastadigital/092021000189150","09.2021.00018915-0")</f>
        <v>09.2021.00018915-0</v>
      </c>
      <c r="D292" s="5">
        <v>45391</v>
      </c>
      <c r="E292" s="9" t="str">
        <f>HYPERLINK("https://www8.mpce.mp.br/Empenhos/150001/Objeto/09-2022.pdf","SERVIÇOS DE EXTENSÃO DE GARANTIA PARA O DATA CENTER, REF. AO MÊS DE ABRIL, CONF. CONTRATO Nº 009/2022 E PROJETO Nº 52/2023.")</f>
        <v>SERVIÇOS DE EXTENSÃO DE GARANTIA PARA O DATA CENTER, REF. AO MÊS DE ABRIL, CONF. CONTRATO Nº 009/2022 E PROJETO Nº 52/2023.</v>
      </c>
      <c r="F292" s="3" t="s">
        <v>278</v>
      </c>
      <c r="G292" s="6" t="str">
        <f>HYPERLINK("http://www8.mpce.mp.br/Empenhos/150501/NE/2024NE000341.pdf","2024NE000341")</f>
        <v>2024NE000341</v>
      </c>
      <c r="H292" s="7">
        <v>21000</v>
      </c>
      <c r="I292" s="8" t="s">
        <v>279</v>
      </c>
      <c r="J292" s="12" t="s">
        <v>280</v>
      </c>
    </row>
    <row r="293" spans="1:10" ht="63.75" x14ac:dyDescent="0.25">
      <c r="A293" s="2" t="s">
        <v>45</v>
      </c>
      <c r="B293" s="3" t="s">
        <v>429</v>
      </c>
      <c r="C293" s="4" t="str">
        <f>HYPERLINK("http://www8.mpce.mp.br/Dispensa/842220170.pdf","8422/20170")</f>
        <v>8422/20170</v>
      </c>
      <c r="D293" s="5">
        <v>45392</v>
      </c>
      <c r="E293" s="9" t="str">
        <f>HYPERLINK("https://www8.mpce.mp.br/Empenhos/150001/Objeto/16-2017.pdf","EMPENHO DE IPTU REFERENTE A 3ª PARCELA DE 2024 DO IMÓVEL ONDE FUNCIONAVAM AS PROMOTORIAS DE JUSTIÇA CRIMINAIS, LOCALIZADAS À AV. CEL. JOSÉ FILOMENO GOMES, 222, BAIRRO LUCIANO CAVALCANTE, CONF. CONTRATO Nº 016/2017/PGJ.")</f>
        <v>EMPENHO DE IPTU REFERENTE A 3ª PARCELA DE 2024 DO IMÓVEL ONDE FUNCIONAVAM AS PROMOTORIAS DE JUSTIÇA CRIMINAIS, LOCALIZADAS À AV. CEL. JOSÉ FILOMENO GOMES, 222, BAIRRO LUCIANO CAVALCANTE, CONF. CONTRATO Nº 016/2017/PGJ.</v>
      </c>
      <c r="F293" s="3" t="s">
        <v>264</v>
      </c>
      <c r="G293" s="6" t="str">
        <f>HYPERLINK("http://www8.mpce.mp.br/Empenhos/150501/NE/2024NE000342.pdf","2024NE000342")</f>
        <v>2024NE000342</v>
      </c>
      <c r="H293" s="7">
        <v>2619.0100000000002</v>
      </c>
      <c r="I293" s="8" t="s">
        <v>169</v>
      </c>
      <c r="J293" s="12" t="s">
        <v>170</v>
      </c>
    </row>
    <row r="294" spans="1:10" ht="63.75" x14ac:dyDescent="0.25">
      <c r="A294" s="2" t="s">
        <v>45</v>
      </c>
      <c r="B294" s="3" t="s">
        <v>345</v>
      </c>
      <c r="C294" s="4" t="str">
        <f>HYPERLINK("http://www8.mpce.mp.br/Dispensa/842220170.pdf","8422/20170")</f>
        <v>8422/20170</v>
      </c>
      <c r="D294" s="5">
        <v>45392</v>
      </c>
      <c r="E294" s="9" t="str">
        <f>HYPERLINK("https://www8.mpce.mp.br/Empenhos/150001/Objeto/16-2017.pdf","EMPENHO DE TMRSU REFERENTE A 3ª PARCELA DE 2024 DO IMÓVEL ONDE FUNCIONAVAM AS PROMOTORIAS DE JUSTIÇA CRIMINAIS, LOCALIZADAS À AV. CEL. JOSÉ FILOMENO GOMES, 222, BAIRRO LUCIANO CAVALCANTE, CONF. CONTRATO Nº 016/2017/PGJ.")</f>
        <v>EMPENHO DE TMRSU REFERENTE A 3ª PARCELA DE 2024 DO IMÓVEL ONDE FUNCIONAVAM AS PROMOTORIAS DE JUSTIÇA CRIMINAIS, LOCALIZADAS À AV. CEL. JOSÉ FILOMENO GOMES, 222, BAIRRO LUCIANO CAVALCANTE, CONF. CONTRATO Nº 016/2017/PGJ.</v>
      </c>
      <c r="F294" s="3" t="s">
        <v>264</v>
      </c>
      <c r="G294" s="6" t="str">
        <f>HYPERLINK("http://www8.mpce.mp.br/Empenhos/150501/NE/2024NE000343.pdf","2024NE000343")</f>
        <v>2024NE000343</v>
      </c>
      <c r="H294" s="7">
        <v>152.32</v>
      </c>
      <c r="I294" s="8" t="s">
        <v>169</v>
      </c>
      <c r="J294" s="12" t="s">
        <v>170</v>
      </c>
    </row>
    <row r="295" spans="1:10" ht="38.25" x14ac:dyDescent="0.25">
      <c r="A295" s="2" t="s">
        <v>20</v>
      </c>
      <c r="B295" s="3" t="s">
        <v>430</v>
      </c>
      <c r="C295" s="4" t="str">
        <f>HYPERLINK("http://www8.mpce.mp.br/Inexigibilidade/2903020176.pdf","29030/2017-6")</f>
        <v>29030/2017-6</v>
      </c>
      <c r="D295" s="5">
        <v>45394</v>
      </c>
      <c r="E295" s="9" t="str">
        <f>HYPERLINK("https://www8.mpce.mp.br/Empenhos/150001/Objeto/31-2018.pdf","SERVIÇOS DE SUSTENTAÇÃO SISTEMA SAJ - MP / GETF, CONF. CONTRATO Nº 031/2018 E PROJETO Nº 52/2023, INERENTE AO MÊS DE ABRIL DE 2024.")</f>
        <v>SERVIÇOS DE SUSTENTAÇÃO SISTEMA SAJ - MP / GETF, CONF. CONTRATO Nº 031/2018 E PROJETO Nº 52/2023, INERENTE AO MÊS DE ABRIL DE 2024.</v>
      </c>
      <c r="F295" s="3" t="s">
        <v>82</v>
      </c>
      <c r="G295" s="6" t="str">
        <f>HYPERLINK("http://www8.mpce.mp.br/Empenhos/150501/NE/2024NE000344.pdf","2024NE000344")</f>
        <v>2024NE000344</v>
      </c>
      <c r="H295" s="7">
        <v>136479.79</v>
      </c>
      <c r="I295" s="8" t="s">
        <v>83</v>
      </c>
      <c r="J295" s="12" t="s">
        <v>84</v>
      </c>
    </row>
    <row r="296" spans="1:10" ht="38.25" x14ac:dyDescent="0.25">
      <c r="A296" s="2" t="s">
        <v>20</v>
      </c>
      <c r="B296" s="3" t="s">
        <v>430</v>
      </c>
      <c r="C296" s="4" t="str">
        <f>HYPERLINK("http://www8.mpce.mp.br/Inexigibilidade/2903020176.pdf","29030/2017-6")</f>
        <v>29030/2017-6</v>
      </c>
      <c r="D296" s="5">
        <v>45394</v>
      </c>
      <c r="E296" s="9" t="str">
        <f>HYPERLINK("https://www8.mpce.mp.br/Empenhos/150001/Objeto/31-2018.pdf","SERVIÇOS DE SUSTENTAÇÃO SISTEMA SAJ - MP / GETF, CONF. CONTRATO Nº 031/2018 E PROJETO Nº 52/2023, INERENTE AO MÊS DE ABRIL DE 2024.")</f>
        <v>SERVIÇOS DE SUSTENTAÇÃO SISTEMA SAJ - MP / GETF, CONF. CONTRATO Nº 031/2018 E PROJETO Nº 52/2023, INERENTE AO MÊS DE ABRIL DE 2024.</v>
      </c>
      <c r="F296" s="3" t="s">
        <v>82</v>
      </c>
      <c r="G296" s="6" t="str">
        <f>HYPERLINK("http://www8.mpce.mp.br/Empenhos/150501/NE/2024NE000344.pdf","2024NE000344")</f>
        <v>2024NE000344</v>
      </c>
      <c r="H296" s="7">
        <v>136479.79</v>
      </c>
      <c r="I296" s="8" t="s">
        <v>83</v>
      </c>
      <c r="J296" s="12" t="s">
        <v>84</v>
      </c>
    </row>
    <row r="297" spans="1:10" ht="38.25" x14ac:dyDescent="0.25">
      <c r="A297" s="2" t="s">
        <v>20</v>
      </c>
      <c r="B297" s="3" t="s">
        <v>430</v>
      </c>
      <c r="C297" s="4" t="str">
        <f>HYPERLINK("http://www8.mpce.mp.br/Inexigibilidade/2903020176.pdf","29030/2017-6")</f>
        <v>29030/2017-6</v>
      </c>
      <c r="D297" s="5">
        <v>45394</v>
      </c>
      <c r="E297" s="9" t="str">
        <f>HYPERLINK("https://www8.mpce.mp.br/Empenhos/150001/Objeto/31-2018.pdf","SERVIÇOS DE SUSTENTAÇÃO SISTEMA SAJ - MP / GETF, CONF. CONTRATO Nº 031/2018 E PROJETO Nº 52/2023, INERENTE AO MÊS DE ABRIL DE 2024.")</f>
        <v>SERVIÇOS DE SUSTENTAÇÃO SISTEMA SAJ - MP / GETF, CONF. CONTRATO Nº 031/2018 E PROJETO Nº 52/2023, INERENTE AO MÊS DE ABRIL DE 2024.</v>
      </c>
      <c r="F297" s="3" t="s">
        <v>82</v>
      </c>
      <c r="G297" s="6" t="str">
        <f>HYPERLINK("http://www8.mpce.mp.br/Empenhos/150501/NE/2024NE000344.pdf","2024NE000344")</f>
        <v>2024NE000344</v>
      </c>
      <c r="H297" s="7">
        <v>136479.79</v>
      </c>
      <c r="I297" s="8" t="s">
        <v>83</v>
      </c>
      <c r="J297" s="12" t="s">
        <v>84</v>
      </c>
    </row>
    <row r="298" spans="1:10" ht="38.25" x14ac:dyDescent="0.25">
      <c r="A298" s="2" t="s">
        <v>20</v>
      </c>
      <c r="B298" s="3" t="s">
        <v>430</v>
      </c>
      <c r="C298" s="4" t="str">
        <f>HYPERLINK("http://www8.mpce.mp.br/Inexigibilidade/2903020176.pdf","29030/2017-6")</f>
        <v>29030/2017-6</v>
      </c>
      <c r="D298" s="5">
        <v>45394</v>
      </c>
      <c r="E298" s="9" t="str">
        <f>HYPERLINK("https://www8.mpce.mp.br/Empenhos/150001/Objeto/31-2018.pdf","SERVIÇOS DE SUSTENTAÇÃO SISTEMA SAJ - MP / GETF, CONF. CONTRATO Nº 031/2018 E PROJETO Nº 52/2023, INERENTE AO MÊS DE ABRIL DE 2024.")</f>
        <v>SERVIÇOS DE SUSTENTAÇÃO SISTEMA SAJ - MP / GETF, CONF. CONTRATO Nº 031/2018 E PROJETO Nº 52/2023, INERENTE AO MÊS DE ABRIL DE 2024.</v>
      </c>
      <c r="F298" s="3" t="s">
        <v>82</v>
      </c>
      <c r="G298" s="6" t="str">
        <f>HYPERLINK("http://www8.mpce.mp.br/Empenhos/150501/NE/2024NE000344.pdf","2024NE000344")</f>
        <v>2024NE000344</v>
      </c>
      <c r="H298" s="7">
        <v>136479.79</v>
      </c>
      <c r="I298" s="8" t="s">
        <v>83</v>
      </c>
      <c r="J298" s="12" t="s">
        <v>84</v>
      </c>
    </row>
    <row r="299" spans="1:10" ht="38.25" x14ac:dyDescent="0.25">
      <c r="A299" s="2" t="s">
        <v>20</v>
      </c>
      <c r="B299" s="3" t="s">
        <v>430</v>
      </c>
      <c r="C299" s="4" t="str">
        <f>HYPERLINK("http://www8.mpce.mp.br/Inexigibilidade/2903020176.pdf","29030/2017-6")</f>
        <v>29030/2017-6</v>
      </c>
      <c r="D299" s="5">
        <v>45394</v>
      </c>
      <c r="E299" s="9" t="str">
        <f>HYPERLINK("https://www8.mpce.mp.br/Empenhos/150001/Objeto/31-2018.pdf","SERVIÇOS DE SUSTENTAÇÃO SISTEMA SAJ - MP / GETF, CONF. CONTRATO Nº 031/2018 E PROJETO Nº 52/2023, INERENTE AO MÊS DE ABRIL DE 2024.")</f>
        <v>SERVIÇOS DE SUSTENTAÇÃO SISTEMA SAJ - MP / GETF, CONF. CONTRATO Nº 031/2018 E PROJETO Nº 52/2023, INERENTE AO MÊS DE ABRIL DE 2024.</v>
      </c>
      <c r="F299" s="3" t="s">
        <v>82</v>
      </c>
      <c r="G299" s="6" t="str">
        <f>HYPERLINK("http://www8.mpce.mp.br/Empenhos/150501/NE/2024NE000344.pdf","2024NE000344")</f>
        <v>2024NE000344</v>
      </c>
      <c r="H299" s="7">
        <v>136479.79</v>
      </c>
      <c r="I299" s="8" t="s">
        <v>83</v>
      </c>
      <c r="J299" s="12" t="s">
        <v>84</v>
      </c>
    </row>
    <row r="300" spans="1:10" ht="38.25" x14ac:dyDescent="0.25">
      <c r="A300" s="2" t="s">
        <v>20</v>
      </c>
      <c r="B300" s="3" t="s">
        <v>431</v>
      </c>
      <c r="C300" s="4" t="str">
        <f>HYPERLINK("http://www8.mpce.mp.br/Inexigibilidade/2903020176.pdf","29030/2017-6")</f>
        <v>29030/2017-6</v>
      </c>
      <c r="D300" s="5">
        <v>45394</v>
      </c>
      <c r="E300" s="9" t="str">
        <f>HYPERLINK("https://www8.mpce.mp.br/Empenhos/150001/Objeto/31-2018.pdf","SISTEMA DE SUSTENTAÇÃO SAJ - MP, CONF. CONTRATO Nº 31/2018 E PROJETO Nº 52/2023, REFERENTE AO MÊS DE ABRIL DE 2024.")</f>
        <v>SISTEMA DE SUSTENTAÇÃO SAJ - MP, CONF. CONTRATO Nº 31/2018 E PROJETO Nº 52/2023, REFERENTE AO MÊS DE ABRIL DE 2024.</v>
      </c>
      <c r="F300" s="3" t="s">
        <v>82</v>
      </c>
      <c r="G300" s="6" t="str">
        <f>HYPERLINK("http://www8.mpce.mp.br/Empenhos/150501/NE/2024NE000347.pdf","2024NE000347")</f>
        <v>2024NE000347</v>
      </c>
      <c r="H300" s="7">
        <v>73489.119999999995</v>
      </c>
      <c r="I300" s="8" t="s">
        <v>83</v>
      </c>
      <c r="J300" s="12" t="s">
        <v>84</v>
      </c>
    </row>
    <row r="301" spans="1:10" ht="38.25" x14ac:dyDescent="0.25">
      <c r="A301" s="2" t="s">
        <v>20</v>
      </c>
      <c r="B301" s="3" t="s">
        <v>431</v>
      </c>
      <c r="C301" s="4" t="str">
        <f>HYPERLINK("http://www8.mpce.mp.br/Inexigibilidade/2903020176.pdf","29030/2017-6")</f>
        <v>29030/2017-6</v>
      </c>
      <c r="D301" s="5">
        <v>45394</v>
      </c>
      <c r="E301" s="9" t="str">
        <f>HYPERLINK("https://www8.mpce.mp.br/Empenhos/150001/Objeto/31-2018.pdf","SISTEMA DE SUSTENTAÇÃO SAJ - MP, CONF. CONTRATO Nº 31/2018 E PROJETO Nº 52/2023, REFERENTE AO MÊS DE ABRIL DE 2024.")</f>
        <v>SISTEMA DE SUSTENTAÇÃO SAJ - MP, CONF. CONTRATO Nº 31/2018 E PROJETO Nº 52/2023, REFERENTE AO MÊS DE ABRIL DE 2024.</v>
      </c>
      <c r="F301" s="3" t="s">
        <v>82</v>
      </c>
      <c r="G301" s="6" t="str">
        <f>HYPERLINK("http://www8.mpce.mp.br/Empenhos/150501/NE/2024NE000347.pdf","2024NE000347")</f>
        <v>2024NE000347</v>
      </c>
      <c r="H301" s="7">
        <v>73489.119999999995</v>
      </c>
      <c r="I301" s="8" t="s">
        <v>83</v>
      </c>
      <c r="J301" s="12" t="s">
        <v>84</v>
      </c>
    </row>
    <row r="302" spans="1:10" ht="38.25" x14ac:dyDescent="0.25">
      <c r="A302" s="2" t="s">
        <v>20</v>
      </c>
      <c r="B302" s="3" t="s">
        <v>431</v>
      </c>
      <c r="C302" s="4" t="str">
        <f>HYPERLINK("http://www8.mpce.mp.br/Inexigibilidade/2903020176.pdf","29030/2017-6")</f>
        <v>29030/2017-6</v>
      </c>
      <c r="D302" s="5">
        <v>45394</v>
      </c>
      <c r="E302" s="9" t="str">
        <f>HYPERLINK("https://www8.mpce.mp.br/Empenhos/150001/Objeto/31-2018.pdf","SISTEMA DE SUSTENTAÇÃO SAJ - MP, CONF. CONTRATO Nº 31/2018 E PROJETO Nº 52/2023, REFERENTE AO MÊS DE ABRIL DE 2024.")</f>
        <v>SISTEMA DE SUSTENTAÇÃO SAJ - MP, CONF. CONTRATO Nº 31/2018 E PROJETO Nº 52/2023, REFERENTE AO MÊS DE ABRIL DE 2024.</v>
      </c>
      <c r="F302" s="3" t="s">
        <v>82</v>
      </c>
      <c r="G302" s="6" t="str">
        <f>HYPERLINK("http://www8.mpce.mp.br/Empenhos/150501/NE/2024NE000347.pdf","2024NE000347")</f>
        <v>2024NE000347</v>
      </c>
      <c r="H302" s="7">
        <v>73489.119999999995</v>
      </c>
      <c r="I302" s="8" t="s">
        <v>83</v>
      </c>
      <c r="J302" s="12" t="s">
        <v>84</v>
      </c>
    </row>
    <row r="303" spans="1:10" ht="38.25" x14ac:dyDescent="0.25">
      <c r="A303" s="2" t="s">
        <v>20</v>
      </c>
      <c r="B303" s="3" t="s">
        <v>431</v>
      </c>
      <c r="C303" s="4" t="str">
        <f>HYPERLINK("http://www8.mpce.mp.br/Inexigibilidade/2903020176.pdf","29030/2017-6")</f>
        <v>29030/2017-6</v>
      </c>
      <c r="D303" s="5">
        <v>45394</v>
      </c>
      <c r="E303" s="9" t="str">
        <f>HYPERLINK("https://www8.mpce.mp.br/Empenhos/150001/Objeto/31-2018.pdf","SISTEMA DE SUSTENTAÇÃO SAJ - MP, CONF. CONTRATO Nº 31/2018 E PROJETO Nº 52/2023, REFERENTE AO MÊS DE ABRIL DE 2024.")</f>
        <v>SISTEMA DE SUSTENTAÇÃO SAJ - MP, CONF. CONTRATO Nº 31/2018 E PROJETO Nº 52/2023, REFERENTE AO MÊS DE ABRIL DE 2024.</v>
      </c>
      <c r="F303" s="3" t="s">
        <v>82</v>
      </c>
      <c r="G303" s="6" t="str">
        <f>HYPERLINK("http://www8.mpce.mp.br/Empenhos/150501/NE/2024NE000347.pdf","2024NE000347")</f>
        <v>2024NE000347</v>
      </c>
      <c r="H303" s="7">
        <v>73489.119999999995</v>
      </c>
      <c r="I303" s="8" t="s">
        <v>83</v>
      </c>
      <c r="J303" s="12" t="s">
        <v>84</v>
      </c>
    </row>
    <row r="304" spans="1:10" ht="38.25" x14ac:dyDescent="0.25">
      <c r="A304" s="2" t="s">
        <v>20</v>
      </c>
      <c r="B304" s="3" t="s">
        <v>431</v>
      </c>
      <c r="C304" s="4" t="str">
        <f>HYPERLINK("http://www8.mpce.mp.br/Inexigibilidade/2903020176.pdf","29030/2017-6")</f>
        <v>29030/2017-6</v>
      </c>
      <c r="D304" s="5">
        <v>45394</v>
      </c>
      <c r="E304" s="9" t="str">
        <f>HYPERLINK("https://www8.mpce.mp.br/Empenhos/150001/Objeto/31-2018.pdf","SISTEMA DE SUSTENTAÇÃO SAJ - MP, CONF. CONTRATO Nº 31/2018 E PROJETO Nº 52/2023, REFERENTE AO MÊS DE ABRIL DE 2024.")</f>
        <v>SISTEMA DE SUSTENTAÇÃO SAJ - MP, CONF. CONTRATO Nº 31/2018 E PROJETO Nº 52/2023, REFERENTE AO MÊS DE ABRIL DE 2024.</v>
      </c>
      <c r="F304" s="3" t="s">
        <v>82</v>
      </c>
      <c r="G304" s="6" t="str">
        <f>HYPERLINK("http://www8.mpce.mp.br/Empenhos/150501/NE/2024NE000347.pdf","2024NE000347")</f>
        <v>2024NE000347</v>
      </c>
      <c r="H304" s="7">
        <v>73489.119999999995</v>
      </c>
      <c r="I304" s="8" t="s">
        <v>83</v>
      </c>
      <c r="J304" s="12" t="s">
        <v>84</v>
      </c>
    </row>
    <row r="305" spans="1:10" ht="51" x14ac:dyDescent="0.25">
      <c r="A305" s="2" t="s">
        <v>20</v>
      </c>
      <c r="B305" s="3" t="s">
        <v>430</v>
      </c>
      <c r="C305" s="4" t="str">
        <f>HYPERLINK("http://www8.mpce.mp.br/Inexigibilidade/2903020176.pdf","29030/2017-6")</f>
        <v>29030/2017-6</v>
      </c>
      <c r="D305" s="5">
        <v>45394</v>
      </c>
      <c r="E305" s="9" t="str">
        <f>HYPERLINK("https://www8.mpce.mp.br/Empenhos/150001/Objeto/31-2018.pdf","SISTEMA  SAJ - MP (SOB DEMANADA), CICLO: 2024 -2, CONF. CONTRATO Nº 31/2018 E PROJETO Nº 52/2023, REFERENTE AO MESES DE ABRIL, MAIO E JUNHO (PROPORCIONAL 13 DIAS) DE 2024.")</f>
        <v>SISTEMA  SAJ - MP (SOB DEMANADA), CICLO: 2024 -2, CONF. CONTRATO Nº 31/2018 E PROJETO Nº 52/2023, REFERENTE AO MESES DE ABRIL, MAIO E JUNHO (PROPORCIONAL 13 DIAS) DE 2024.</v>
      </c>
      <c r="F305" s="3" t="s">
        <v>82</v>
      </c>
      <c r="G305" s="6" t="str">
        <f>HYPERLINK("http://www8.mpce.mp.br/Empenhos/150501/NE/2024NE000348.pdf","2024NE000348")</f>
        <v>2024NE000348</v>
      </c>
      <c r="H305" s="7">
        <v>22627.360000000001</v>
      </c>
      <c r="I305" s="8" t="s">
        <v>83</v>
      </c>
      <c r="J305" s="12" t="s">
        <v>84</v>
      </c>
    </row>
    <row r="306" spans="1:10" ht="51" x14ac:dyDescent="0.25">
      <c r="A306" s="2" t="s">
        <v>20</v>
      </c>
      <c r="B306" s="3" t="s">
        <v>430</v>
      </c>
      <c r="C306" s="4" t="str">
        <f>HYPERLINK("http://www8.mpce.mp.br/Inexigibilidade/2903020176.pdf","29030/2017-6")</f>
        <v>29030/2017-6</v>
      </c>
      <c r="D306" s="5">
        <v>45394</v>
      </c>
      <c r="E306" s="9" t="str">
        <f>HYPERLINK("https://www8.mpce.mp.br/Empenhos/150001/Objeto/31-2018.pdf","SISTEMA  SAJ - MP (SOB DEMANADA), CICLO: 2024 -2, CONF. CONTRATO Nº 31/2018 E PROJETO Nº 52/2023, REFERENTE AO MESES DE ABRIL, MAIO E JUNHO (PROPORCIONAL 13 DIAS) DE 2024.")</f>
        <v>SISTEMA  SAJ - MP (SOB DEMANADA), CICLO: 2024 -2, CONF. CONTRATO Nº 31/2018 E PROJETO Nº 52/2023, REFERENTE AO MESES DE ABRIL, MAIO E JUNHO (PROPORCIONAL 13 DIAS) DE 2024.</v>
      </c>
      <c r="F306" s="3" t="s">
        <v>82</v>
      </c>
      <c r="G306" s="6" t="str">
        <f>HYPERLINK("http://www8.mpce.mp.br/Empenhos/150501/NE/2024NE000348.pdf","2024NE000348")</f>
        <v>2024NE000348</v>
      </c>
      <c r="H306" s="7">
        <v>22627.360000000001</v>
      </c>
      <c r="I306" s="8" t="s">
        <v>83</v>
      </c>
      <c r="J306" s="12" t="s">
        <v>84</v>
      </c>
    </row>
    <row r="307" spans="1:10" ht="51" x14ac:dyDescent="0.25">
      <c r="A307" s="2" t="s">
        <v>20</v>
      </c>
      <c r="B307" s="3" t="s">
        <v>430</v>
      </c>
      <c r="C307" s="4" t="str">
        <f>HYPERLINK("http://www8.mpce.mp.br/Inexigibilidade/2903020176.pdf","29030/2017-6")</f>
        <v>29030/2017-6</v>
      </c>
      <c r="D307" s="5">
        <v>45394</v>
      </c>
      <c r="E307" s="9" t="str">
        <f>HYPERLINK("https://www8.mpce.mp.br/Empenhos/150001/Objeto/31-2018.pdf","SISTEMA  SAJ - MP (SOB DEMANADA), CICLO: 2024 -2, CONF. CONTRATO Nº 31/2018 E PROJETO Nº 52/2023, REFERENTE AO MESES DE ABRIL, MAIO E JUNHO (PROPORCIONAL 13 DIAS) DE 2024.")</f>
        <v>SISTEMA  SAJ - MP (SOB DEMANADA), CICLO: 2024 -2, CONF. CONTRATO Nº 31/2018 E PROJETO Nº 52/2023, REFERENTE AO MESES DE ABRIL, MAIO E JUNHO (PROPORCIONAL 13 DIAS) DE 2024.</v>
      </c>
      <c r="F307" s="3" t="s">
        <v>82</v>
      </c>
      <c r="G307" s="6" t="str">
        <f>HYPERLINK("http://www8.mpce.mp.br/Empenhos/150501/NE/2024NE000348.pdf","2024NE000348")</f>
        <v>2024NE000348</v>
      </c>
      <c r="H307" s="7">
        <v>22627.360000000001</v>
      </c>
      <c r="I307" s="8" t="s">
        <v>83</v>
      </c>
      <c r="J307" s="12" t="s">
        <v>84</v>
      </c>
    </row>
    <row r="308" spans="1:10" ht="51" x14ac:dyDescent="0.25">
      <c r="A308" s="2" t="s">
        <v>20</v>
      </c>
      <c r="B308" s="3" t="s">
        <v>430</v>
      </c>
      <c r="C308" s="4" t="str">
        <f>HYPERLINK("http://www8.mpce.mp.br/Inexigibilidade/2903020176.pdf","29030/2017-6")</f>
        <v>29030/2017-6</v>
      </c>
      <c r="D308" s="5">
        <v>45394</v>
      </c>
      <c r="E308" s="9" t="str">
        <f>HYPERLINK("https://www8.mpce.mp.br/Empenhos/150001/Objeto/31-2018.pdf","SISTEMA  SAJ - MP (SOB DEMANADA), CICLO: 2024 -2, CONF. CONTRATO Nº 31/2018 E PROJETO Nº 52/2023, REFERENTE AO MESES DE ABRIL, MAIO E JUNHO (PROPORCIONAL 13 DIAS) DE 2024.")</f>
        <v>SISTEMA  SAJ - MP (SOB DEMANADA), CICLO: 2024 -2, CONF. CONTRATO Nº 31/2018 E PROJETO Nº 52/2023, REFERENTE AO MESES DE ABRIL, MAIO E JUNHO (PROPORCIONAL 13 DIAS) DE 2024.</v>
      </c>
      <c r="F308" s="3" t="s">
        <v>82</v>
      </c>
      <c r="G308" s="6" t="str">
        <f>HYPERLINK("http://www8.mpce.mp.br/Empenhos/150501/NE/2024NE000348.pdf","2024NE000348")</f>
        <v>2024NE000348</v>
      </c>
      <c r="H308" s="7">
        <v>22627.360000000001</v>
      </c>
      <c r="I308" s="8" t="s">
        <v>83</v>
      </c>
      <c r="J308" s="12" t="s">
        <v>84</v>
      </c>
    </row>
    <row r="309" spans="1:10" ht="51" x14ac:dyDescent="0.25">
      <c r="A309" s="2" t="s">
        <v>20</v>
      </c>
      <c r="B309" s="3" t="s">
        <v>430</v>
      </c>
      <c r="C309" s="4" t="str">
        <f>HYPERLINK("http://www8.mpce.mp.br/Inexigibilidade/2903020176.pdf","29030/2017-6")</f>
        <v>29030/2017-6</v>
      </c>
      <c r="D309" s="5">
        <v>45394</v>
      </c>
      <c r="E309" s="9" t="str">
        <f>HYPERLINK("https://www8.mpce.mp.br/Empenhos/150001/Objeto/31-2018.pdf","SISTEMA  SAJ - MP (SOB DEMANADA), CICLO: 2024 -2, CONF. CONTRATO Nº 31/2018 E PROJETO Nº 52/2023, REFERENTE AO MESES DE ABRIL, MAIO E JUNHO (PROPORCIONAL 13 DIAS) DE 2024.")</f>
        <v>SISTEMA  SAJ - MP (SOB DEMANADA), CICLO: 2024 -2, CONF. CONTRATO Nº 31/2018 E PROJETO Nº 52/2023, REFERENTE AO MESES DE ABRIL, MAIO E JUNHO (PROPORCIONAL 13 DIAS) DE 2024.</v>
      </c>
      <c r="F309" s="3" t="s">
        <v>82</v>
      </c>
      <c r="G309" s="6" t="str">
        <f>HYPERLINK("http://www8.mpce.mp.br/Empenhos/150501/NE/2024NE000348.pdf","2024NE000348")</f>
        <v>2024NE000348</v>
      </c>
      <c r="H309" s="7">
        <v>22627.360000000001</v>
      </c>
      <c r="I309" s="8" t="s">
        <v>83</v>
      </c>
      <c r="J309" s="12" t="s">
        <v>84</v>
      </c>
    </row>
    <row r="310" spans="1:10" ht="38.25" x14ac:dyDescent="0.25">
      <c r="A310" s="2" t="s">
        <v>20</v>
      </c>
      <c r="B310" s="3" t="s">
        <v>430</v>
      </c>
      <c r="C310" s="4" t="str">
        <f>HYPERLINK("http://www8.mpce.mp.br/Inexigibilidade/2903020176.pdf","29030/2017-6")</f>
        <v>29030/2017-6</v>
      </c>
      <c r="D310" s="5">
        <v>45393</v>
      </c>
      <c r="E310" s="9" t="str">
        <f>HYPERLINK("https://www8.mpce.mp.br/Empenhos/150001/Objeto/31-2018.pdf","SISTEMA  SAJ - MP - SUPORTE 1º NÍVEL,  CONF. CONTRATO Nº 31/2018 E PROJETO Nº 52/2023, REFERENTE AO MÊS DE ABRIL DE 2024.")</f>
        <v>SISTEMA  SAJ - MP - SUPORTE 1º NÍVEL,  CONF. CONTRATO Nº 31/2018 E PROJETO Nº 52/2023, REFERENTE AO MÊS DE ABRIL DE 2024.</v>
      </c>
      <c r="F310" s="3" t="s">
        <v>82</v>
      </c>
      <c r="G310" s="6" t="str">
        <f>HYPERLINK("http://www8.mpce.mp.br/Empenhos/150501/NE/2024NE000349.pdf","2024NE000349")</f>
        <v>2024NE000349</v>
      </c>
      <c r="H310" s="7">
        <v>160000</v>
      </c>
      <c r="I310" s="8" t="s">
        <v>83</v>
      </c>
      <c r="J310" s="12" t="s">
        <v>84</v>
      </c>
    </row>
    <row r="311" spans="1:10" ht="38.25" x14ac:dyDescent="0.25">
      <c r="A311" s="2" t="s">
        <v>20</v>
      </c>
      <c r="B311" s="3" t="s">
        <v>430</v>
      </c>
      <c r="C311" s="4" t="str">
        <f>HYPERLINK("http://www8.mpce.mp.br/Inexigibilidade/2903020176.pdf","29030/2017-6")</f>
        <v>29030/2017-6</v>
      </c>
      <c r="D311" s="5">
        <v>45393</v>
      </c>
      <c r="E311" s="9" t="str">
        <f>HYPERLINK("https://www8.mpce.mp.br/Empenhos/150001/Objeto/31-2018.pdf","SISTEMA  SAJ - MP - SUPORTE 1º NÍVEL,  CONF. CONTRATO Nº 31/2018 E PROJETO Nº 52/2023, REFERENTE AO MÊS DE ABRIL DE 2024.")</f>
        <v>SISTEMA  SAJ - MP - SUPORTE 1º NÍVEL,  CONF. CONTRATO Nº 31/2018 E PROJETO Nº 52/2023, REFERENTE AO MÊS DE ABRIL DE 2024.</v>
      </c>
      <c r="F311" s="3" t="s">
        <v>82</v>
      </c>
      <c r="G311" s="6" t="str">
        <f>HYPERLINK("http://www8.mpce.mp.br/Empenhos/150501/NE/2024NE000349.pdf","2024NE000349")</f>
        <v>2024NE000349</v>
      </c>
      <c r="H311" s="7">
        <v>160000</v>
      </c>
      <c r="I311" s="8" t="s">
        <v>83</v>
      </c>
      <c r="J311" s="12" t="s">
        <v>84</v>
      </c>
    </row>
    <row r="312" spans="1:10" ht="38.25" x14ac:dyDescent="0.25">
      <c r="A312" s="2" t="s">
        <v>20</v>
      </c>
      <c r="B312" s="3" t="s">
        <v>430</v>
      </c>
      <c r="C312" s="4" t="str">
        <f>HYPERLINK("http://www8.mpce.mp.br/Inexigibilidade/2903020176.pdf","29030/2017-6")</f>
        <v>29030/2017-6</v>
      </c>
      <c r="D312" s="5">
        <v>45393</v>
      </c>
      <c r="E312" s="9" t="str">
        <f>HYPERLINK("https://www8.mpce.mp.br/Empenhos/150001/Objeto/31-2018.pdf","SISTEMA  SAJ - MP - SUPORTE 1º NÍVEL,  CONF. CONTRATO Nº 31/2018 E PROJETO Nº 52/2023, REFERENTE AO MÊS DE ABRIL DE 2024.")</f>
        <v>SISTEMA  SAJ - MP - SUPORTE 1º NÍVEL,  CONF. CONTRATO Nº 31/2018 E PROJETO Nº 52/2023, REFERENTE AO MÊS DE ABRIL DE 2024.</v>
      </c>
      <c r="F312" s="3" t="s">
        <v>82</v>
      </c>
      <c r="G312" s="6" t="str">
        <f>HYPERLINK("http://www8.mpce.mp.br/Empenhos/150501/NE/2024NE000349.pdf","2024NE000349")</f>
        <v>2024NE000349</v>
      </c>
      <c r="H312" s="7">
        <v>160000</v>
      </c>
      <c r="I312" s="8" t="s">
        <v>83</v>
      </c>
      <c r="J312" s="12" t="s">
        <v>84</v>
      </c>
    </row>
    <row r="313" spans="1:10" ht="38.25" x14ac:dyDescent="0.25">
      <c r="A313" s="2" t="s">
        <v>20</v>
      </c>
      <c r="B313" s="3" t="s">
        <v>430</v>
      </c>
      <c r="C313" s="4" t="str">
        <f>HYPERLINK("http://www8.mpce.mp.br/Inexigibilidade/2903020176.pdf","29030/2017-6")</f>
        <v>29030/2017-6</v>
      </c>
      <c r="D313" s="5">
        <v>45393</v>
      </c>
      <c r="E313" s="9" t="str">
        <f>HYPERLINK("https://www8.mpce.mp.br/Empenhos/150001/Objeto/31-2018.pdf","SISTEMA  SAJ - MP - SUPORTE 1º NÍVEL,  CONF. CONTRATO Nº 31/2018 E PROJETO Nº 52/2023, REFERENTE AO MÊS DE ABRIL DE 2024.")</f>
        <v>SISTEMA  SAJ - MP - SUPORTE 1º NÍVEL,  CONF. CONTRATO Nº 31/2018 E PROJETO Nº 52/2023, REFERENTE AO MÊS DE ABRIL DE 2024.</v>
      </c>
      <c r="F313" s="3" t="s">
        <v>82</v>
      </c>
      <c r="G313" s="6" t="str">
        <f>HYPERLINK("http://www8.mpce.mp.br/Empenhos/150501/NE/2024NE000349.pdf","2024NE000349")</f>
        <v>2024NE000349</v>
      </c>
      <c r="H313" s="7">
        <v>160000</v>
      </c>
      <c r="I313" s="8" t="s">
        <v>83</v>
      </c>
      <c r="J313" s="12" t="s">
        <v>84</v>
      </c>
    </row>
    <row r="314" spans="1:10" ht="38.25" x14ac:dyDescent="0.25">
      <c r="A314" s="2" t="s">
        <v>20</v>
      </c>
      <c r="B314" s="3" t="s">
        <v>430</v>
      </c>
      <c r="C314" s="4" t="str">
        <f>HYPERLINK("http://www8.mpce.mp.br/Inexigibilidade/2903020176.pdf","29030/2017-6")</f>
        <v>29030/2017-6</v>
      </c>
      <c r="D314" s="5">
        <v>45393</v>
      </c>
      <c r="E314" s="9" t="str">
        <f>HYPERLINK("https://www8.mpce.mp.br/Empenhos/150001/Objeto/31-2018.pdf","SISTEMA  SAJ - MP - SUPORTE 1º NÍVEL,  CONF. CONTRATO Nº 31/2018 E PROJETO Nº 52/2023, REFERENTE AO MÊS DE ABRIL DE 2024.")</f>
        <v>SISTEMA  SAJ - MP - SUPORTE 1º NÍVEL,  CONF. CONTRATO Nº 31/2018 E PROJETO Nº 52/2023, REFERENTE AO MÊS DE ABRIL DE 2024.</v>
      </c>
      <c r="F314" s="3" t="s">
        <v>82</v>
      </c>
      <c r="G314" s="6" t="str">
        <f>HYPERLINK("http://www8.mpce.mp.br/Empenhos/150501/NE/2024NE000349.pdf","2024NE000349")</f>
        <v>2024NE000349</v>
      </c>
      <c r="H314" s="7">
        <v>160000</v>
      </c>
      <c r="I314" s="8" t="s">
        <v>83</v>
      </c>
      <c r="J314" s="12" t="s">
        <v>84</v>
      </c>
    </row>
    <row r="315" spans="1:10" ht="51" x14ac:dyDescent="0.25">
      <c r="A315" s="2" t="s">
        <v>20</v>
      </c>
      <c r="B315" s="3" t="s">
        <v>430</v>
      </c>
      <c r="C315" s="4" t="str">
        <f>HYPERLINK("http://www8.mpce.mp.br/Inexigibilidade/2903020176.pdf","29030/2017-6")</f>
        <v>29030/2017-6</v>
      </c>
      <c r="D315" s="5">
        <v>45393</v>
      </c>
      <c r="E315" s="9" t="str">
        <f>HYPERLINK("https://www8.mpce.mp.br/Empenhos/150001/Objeto/31-2018.pdf","SISTEMA  SAJ - MP - ACOMPANHAMENTO DA OPERAÇÃO E HOSPEDAGEM EM NUVEM,  CONF. CONTRATO Nº 31/2018 E PROJETO Nº 52/2023, REFERENTE AO MÊS DE ABRIL DE 2024.")</f>
        <v>SISTEMA  SAJ - MP - ACOMPANHAMENTO DA OPERAÇÃO E HOSPEDAGEM EM NUVEM,  CONF. CONTRATO Nº 31/2018 E PROJETO Nº 52/2023, REFERENTE AO MÊS DE ABRIL DE 2024.</v>
      </c>
      <c r="F315" s="3" t="s">
        <v>82</v>
      </c>
      <c r="G315" s="6" t="str">
        <f>HYPERLINK("http://www8.mpce.mp.br/Empenhos/150501/NE/2024NE000350.pdf","2024NE000350")</f>
        <v>2024NE000350</v>
      </c>
      <c r="H315" s="7">
        <v>164387.07</v>
      </c>
      <c r="I315" s="8" t="s">
        <v>83</v>
      </c>
      <c r="J315" s="12" t="s">
        <v>84</v>
      </c>
    </row>
    <row r="316" spans="1:10" ht="51" x14ac:dyDescent="0.25">
      <c r="A316" s="2" t="s">
        <v>20</v>
      </c>
      <c r="B316" s="3" t="s">
        <v>430</v>
      </c>
      <c r="C316" s="4" t="str">
        <f>HYPERLINK("http://www8.mpce.mp.br/Inexigibilidade/2903020176.pdf","29030/2017-6")</f>
        <v>29030/2017-6</v>
      </c>
      <c r="D316" s="5">
        <v>45393</v>
      </c>
      <c r="E316" s="9" t="str">
        <f>HYPERLINK("https://www8.mpce.mp.br/Empenhos/150001/Objeto/31-2018.pdf","SISTEMA  SAJ - MP - ACOMPANHAMENTO DA OPERAÇÃO E HOSPEDAGEM EM NUVEM,  CONF. CONTRATO Nº 31/2018 E PROJETO Nº 52/2023, REFERENTE AO MÊS DE ABRIL DE 2024.")</f>
        <v>SISTEMA  SAJ - MP - ACOMPANHAMENTO DA OPERAÇÃO E HOSPEDAGEM EM NUVEM,  CONF. CONTRATO Nº 31/2018 E PROJETO Nº 52/2023, REFERENTE AO MÊS DE ABRIL DE 2024.</v>
      </c>
      <c r="F316" s="3" t="s">
        <v>82</v>
      </c>
      <c r="G316" s="6" t="str">
        <f>HYPERLINK("http://www8.mpce.mp.br/Empenhos/150501/NE/2024NE000350.pdf","2024NE000350")</f>
        <v>2024NE000350</v>
      </c>
      <c r="H316" s="7">
        <v>164387.07</v>
      </c>
      <c r="I316" s="8" t="s">
        <v>83</v>
      </c>
      <c r="J316" s="12" t="s">
        <v>84</v>
      </c>
    </row>
    <row r="317" spans="1:10" ht="51" x14ac:dyDescent="0.25">
      <c r="A317" s="2" t="s">
        <v>20</v>
      </c>
      <c r="B317" s="3" t="s">
        <v>430</v>
      </c>
      <c r="C317" s="4" t="str">
        <f>HYPERLINK("http://www8.mpce.mp.br/Inexigibilidade/2903020176.pdf","29030/2017-6")</f>
        <v>29030/2017-6</v>
      </c>
      <c r="D317" s="5">
        <v>45393</v>
      </c>
      <c r="E317" s="9" t="str">
        <f>HYPERLINK("https://www8.mpce.mp.br/Empenhos/150001/Objeto/31-2018.pdf","SISTEMA  SAJ - MP - ACOMPANHAMENTO DA OPERAÇÃO E HOSPEDAGEM EM NUVEM,  CONF. CONTRATO Nº 31/2018 E PROJETO Nº 52/2023, REFERENTE AO MÊS DE ABRIL DE 2024.")</f>
        <v>SISTEMA  SAJ - MP - ACOMPANHAMENTO DA OPERAÇÃO E HOSPEDAGEM EM NUVEM,  CONF. CONTRATO Nº 31/2018 E PROJETO Nº 52/2023, REFERENTE AO MÊS DE ABRIL DE 2024.</v>
      </c>
      <c r="F317" s="3" t="s">
        <v>82</v>
      </c>
      <c r="G317" s="6" t="str">
        <f>HYPERLINK("http://www8.mpce.mp.br/Empenhos/150501/NE/2024NE000350.pdf","2024NE000350")</f>
        <v>2024NE000350</v>
      </c>
      <c r="H317" s="7">
        <v>164387.07</v>
      </c>
      <c r="I317" s="8" t="s">
        <v>83</v>
      </c>
      <c r="J317" s="12" t="s">
        <v>84</v>
      </c>
    </row>
    <row r="318" spans="1:10" ht="51" x14ac:dyDescent="0.25">
      <c r="A318" s="2" t="s">
        <v>20</v>
      </c>
      <c r="B318" s="3" t="s">
        <v>430</v>
      </c>
      <c r="C318" s="4" t="str">
        <f>HYPERLINK("http://www8.mpce.mp.br/Inexigibilidade/2903020176.pdf","29030/2017-6")</f>
        <v>29030/2017-6</v>
      </c>
      <c r="D318" s="5">
        <v>45393</v>
      </c>
      <c r="E318" s="9" t="str">
        <f>HYPERLINK("https://www8.mpce.mp.br/Empenhos/150001/Objeto/31-2018.pdf","SISTEMA  SAJ - MP - ACOMPANHAMENTO DA OPERAÇÃO E HOSPEDAGEM EM NUVEM,  CONF. CONTRATO Nº 31/2018 E PROJETO Nº 52/2023, REFERENTE AO MÊS DE ABRIL DE 2024.")</f>
        <v>SISTEMA  SAJ - MP - ACOMPANHAMENTO DA OPERAÇÃO E HOSPEDAGEM EM NUVEM,  CONF. CONTRATO Nº 31/2018 E PROJETO Nº 52/2023, REFERENTE AO MÊS DE ABRIL DE 2024.</v>
      </c>
      <c r="F318" s="3" t="s">
        <v>82</v>
      </c>
      <c r="G318" s="6" t="str">
        <f>HYPERLINK("http://www8.mpce.mp.br/Empenhos/150501/NE/2024NE000350.pdf","2024NE000350")</f>
        <v>2024NE000350</v>
      </c>
      <c r="H318" s="7">
        <v>164387.07</v>
      </c>
      <c r="I318" s="8" t="s">
        <v>83</v>
      </c>
      <c r="J318" s="12" t="s">
        <v>84</v>
      </c>
    </row>
    <row r="319" spans="1:10" ht="51" x14ac:dyDescent="0.25">
      <c r="A319" s="2" t="s">
        <v>20</v>
      </c>
      <c r="B319" s="3" t="s">
        <v>430</v>
      </c>
      <c r="C319" s="4" t="str">
        <f>HYPERLINK("http://www8.mpce.mp.br/Inexigibilidade/2903020176.pdf","29030/2017-6")</f>
        <v>29030/2017-6</v>
      </c>
      <c r="D319" s="5">
        <v>45393</v>
      </c>
      <c r="E319" s="9" t="str">
        <f>HYPERLINK("https://www8.mpce.mp.br/Empenhos/150001/Objeto/31-2018.pdf","SISTEMA  SAJ - MP - ACOMPANHAMENTO DA OPERAÇÃO E HOSPEDAGEM EM NUVEM,  CONF. CONTRATO Nº 31/2018 E PROJETO Nº 52/2023, REFERENTE AO MÊS DE ABRIL DE 2024.")</f>
        <v>SISTEMA  SAJ - MP - ACOMPANHAMENTO DA OPERAÇÃO E HOSPEDAGEM EM NUVEM,  CONF. CONTRATO Nº 31/2018 E PROJETO Nº 52/2023, REFERENTE AO MÊS DE ABRIL DE 2024.</v>
      </c>
      <c r="F319" s="3" t="s">
        <v>82</v>
      </c>
      <c r="G319" s="6" t="str">
        <f>HYPERLINK("http://www8.mpce.mp.br/Empenhos/150501/NE/2024NE000350.pdf","2024NE000350")</f>
        <v>2024NE000350</v>
      </c>
      <c r="H319" s="7">
        <v>164387.07</v>
      </c>
      <c r="I319" s="8" t="s">
        <v>83</v>
      </c>
      <c r="J319" s="12" t="s">
        <v>84</v>
      </c>
    </row>
    <row r="320" spans="1:10" ht="38.25" x14ac:dyDescent="0.25">
      <c r="A320" s="2" t="s">
        <v>20</v>
      </c>
      <c r="B320" s="3" t="s">
        <v>432</v>
      </c>
      <c r="C320" s="4" t="str">
        <f>HYPERLINK("https://transparencia-area-fim.mpce.mp.br/#/consulta/processo/pastadigital/092023000287946","09.2023.00028794-6")</f>
        <v>09.2023.00028794-6</v>
      </c>
      <c r="D320" s="5">
        <v>45393</v>
      </c>
      <c r="E320" s="9" t="str">
        <f>HYPERLINK("https://www8.mpce.mp.br/Empenhos/150001/Objeto/59-2023.pdf","LICENÇAS DE SOFTWARE, CONFORME CONTRATO 059/2023, POR ESTIMATIVA PARA OS MESES DE ABRIL, MAIO E JUNHO DE 2024. PROJETO 65/2023.")</f>
        <v>LICENÇAS DE SOFTWARE, CONFORME CONTRATO 059/2023, POR ESTIMATIVA PARA OS MESES DE ABRIL, MAIO E JUNHO DE 2024. PROJETO 65/2023.</v>
      </c>
      <c r="F320" s="3" t="s">
        <v>120</v>
      </c>
      <c r="G320" s="6" t="str">
        <f>HYPERLINK("http://www8.mpce.mp.br/Empenhos/150501/NE/2024NE000352.pdf","2024NE000352")</f>
        <v>2024NE000352</v>
      </c>
      <c r="H320" s="7">
        <v>7594.5</v>
      </c>
      <c r="I320" s="8" t="s">
        <v>121</v>
      </c>
      <c r="J320" s="12" t="s">
        <v>122</v>
      </c>
    </row>
    <row r="321" spans="1:10" ht="51" x14ac:dyDescent="0.25">
      <c r="A321" s="2" t="s">
        <v>45</v>
      </c>
      <c r="B321" s="3" t="s">
        <v>433</v>
      </c>
      <c r="C321" s="4" t="str">
        <f>HYPERLINK("https://transparencia-area-fim.mpce.mp.br/#/consulta/processo/pastadigital/092024000089200","09.2024.00008920-0")</f>
        <v>09.2024.00008920-0</v>
      </c>
      <c r="D321" s="5">
        <v>45392</v>
      </c>
      <c r="E321" s="9" t="s">
        <v>434</v>
      </c>
      <c r="F321" s="3" t="s">
        <v>127</v>
      </c>
      <c r="G321" s="6" t="str">
        <f>HYPERLINK("http://www8.mpce.mp.br/Empenhos/150501/NE/2024NE000354.pdf","2024NE000354")</f>
        <v>2024NE000354</v>
      </c>
      <c r="H321" s="7">
        <v>13486.5</v>
      </c>
      <c r="I321" s="8" t="s">
        <v>435</v>
      </c>
      <c r="J321" s="12" t="s">
        <v>436</v>
      </c>
    </row>
    <row r="322" spans="1:10" ht="51" x14ac:dyDescent="0.25">
      <c r="A322" s="2" t="s">
        <v>45</v>
      </c>
      <c r="B322" s="3" t="s">
        <v>437</v>
      </c>
      <c r="C322" s="4" t="str">
        <f>HYPERLINK("https://transparencia-area-fim.mpce.mp.br/#/consulta/processo/pastadigital/092021000244550","09.2021.00024455-0")</f>
        <v>09.2021.00024455-0</v>
      </c>
      <c r="D322" s="5">
        <v>45392</v>
      </c>
      <c r="E322" s="9" t="str">
        <f>HYPERLINK("https://www8.mpce.mp.br/Empenhos/150001/Objeto/10-2022.pdf","ALUGUEL DO IMÓVEL QUE ABRIGA A SEDE DAS PROMOTORIAS DE JUSTIÇA DA COMARCA DE ICÓ, CONF. CONTRATO 010/2022-1º ADITIVO, REF. ABR/2024, POR ESTIMATIVA.")</f>
        <v>ALUGUEL DO IMÓVEL QUE ABRIGA A SEDE DAS PROMOTORIAS DE JUSTIÇA DA COMARCA DE ICÓ, CONF. CONTRATO 010/2022-1º ADITIVO, REF. ABR/2024, POR ESTIMATIVA.</v>
      </c>
      <c r="F322" s="3" t="s">
        <v>127</v>
      </c>
      <c r="G322" s="6" t="str">
        <f>HYPERLINK("http://www8.mpce.mp.br/Empenhos/150501/NE/2024NE000357.pdf","2024NE000357")</f>
        <v>2024NE000357</v>
      </c>
      <c r="H322" s="7">
        <v>13486.5</v>
      </c>
      <c r="I322" s="8" t="s">
        <v>435</v>
      </c>
      <c r="J322" s="12" t="s">
        <v>436</v>
      </c>
    </row>
    <row r="323" spans="1:10" ht="38.25" x14ac:dyDescent="0.25">
      <c r="A323" s="2" t="s">
        <v>20</v>
      </c>
      <c r="B323" s="3" t="s">
        <v>438</v>
      </c>
      <c r="C323" s="4" t="str">
        <f>HYPERLINK("https://transparencia-area-fim.mpce.mp.br/#/consulta/processo/pastadigital/092021000204268","09.2021.00020426-8")</f>
        <v>09.2021.00020426-8</v>
      </c>
      <c r="D323" s="5">
        <v>45351</v>
      </c>
      <c r="E323" s="9" t="str">
        <f>HYPERLINK("https://www8.mpce.mp.br/Empenhos/150001/Objeto/36-2021.pdf","DOI REGISTRADO E SIMILARITY CHECK (VERIFICADOR DE PLÁGIO), CONF. CONTRATO 036/2021, REF. 2024, POR ESTIMATIVA.")</f>
        <v>DOI REGISTRADO E SIMILARITY CHECK (VERIFICADOR DE PLÁGIO), CONF. CONTRATO 036/2021, REF. 2024, POR ESTIMATIVA.</v>
      </c>
      <c r="F323" s="3" t="s">
        <v>92</v>
      </c>
      <c r="G323" s="6" t="str">
        <f>HYPERLINK("http://www8.mpce.mp.br/Empenhos/150001/NE/2024NE000358.pdf","2024NE000358")</f>
        <v>2024NE000358</v>
      </c>
      <c r="H323" s="7">
        <v>367.2</v>
      </c>
      <c r="I323" s="8" t="s">
        <v>370</v>
      </c>
      <c r="J323" s="12" t="s">
        <v>371</v>
      </c>
    </row>
    <row r="324" spans="1:10" ht="38.25" x14ac:dyDescent="0.25">
      <c r="A324" s="2" t="s">
        <v>20</v>
      </c>
      <c r="B324" s="3" t="s">
        <v>438</v>
      </c>
      <c r="C324" s="4" t="str">
        <f>HYPERLINK("https://transparencia-area-fim.mpce.mp.br/#/consulta/processo/pastadigital/092021000204268","09.2021.00020426-8")</f>
        <v>09.2021.00020426-8</v>
      </c>
      <c r="D324" s="5">
        <v>45351</v>
      </c>
      <c r="E324" s="9" t="str">
        <f>HYPERLINK("https://www8.mpce.mp.br/Empenhos/150001/Objeto/36-2021.pdf","DOI REGISTRADO E SIMILARITY CHECK (VERIFICADOR DE PLÁGIO), CONF. CONTRATO 036/2021, REF. 2024, POR ESTIMATIVA.")</f>
        <v>DOI REGISTRADO E SIMILARITY CHECK (VERIFICADOR DE PLÁGIO), CONF. CONTRATO 036/2021, REF. 2024, POR ESTIMATIVA.</v>
      </c>
      <c r="F324" s="3" t="s">
        <v>92</v>
      </c>
      <c r="G324" s="6" t="str">
        <f>HYPERLINK("http://www8.mpce.mp.br/Empenhos/150001/NE/2024NE000358.pdf","2024NE000358")</f>
        <v>2024NE000358</v>
      </c>
      <c r="H324" s="7">
        <v>367.2</v>
      </c>
      <c r="I324" s="8" t="s">
        <v>370</v>
      </c>
      <c r="J324" s="12" t="s">
        <v>371</v>
      </c>
    </row>
    <row r="325" spans="1:10" ht="38.25" x14ac:dyDescent="0.25">
      <c r="A325" s="2" t="s">
        <v>20</v>
      </c>
      <c r="B325" s="3" t="s">
        <v>438</v>
      </c>
      <c r="C325" s="4" t="str">
        <f>HYPERLINK("https://transparencia-area-fim.mpce.mp.br/#/consulta/processo/pastadigital/092021000204268","09.2021.00020426-8")</f>
        <v>09.2021.00020426-8</v>
      </c>
      <c r="D325" s="5">
        <v>45351</v>
      </c>
      <c r="E325" s="9" t="str">
        <f>HYPERLINK("https://www8.mpce.mp.br/Empenhos/150001/Objeto/36-2021.pdf","DOI REGISTRADO E SIMILARITY CHECK (VERIFICADOR DE PLÁGIO), CONF. CONTRATO 036/2021, REF. 2024, POR ESTIMATIVA.")</f>
        <v>DOI REGISTRADO E SIMILARITY CHECK (VERIFICADOR DE PLÁGIO), CONF. CONTRATO 036/2021, REF. 2024, POR ESTIMATIVA.</v>
      </c>
      <c r="F325" s="3" t="s">
        <v>92</v>
      </c>
      <c r="G325" s="6" t="str">
        <f>HYPERLINK("http://www8.mpce.mp.br/Empenhos/150001/NE/2024NE000358.pdf","2024NE000358")</f>
        <v>2024NE000358</v>
      </c>
      <c r="H325" s="7">
        <v>367.2</v>
      </c>
      <c r="I325" s="8" t="s">
        <v>370</v>
      </c>
      <c r="J325" s="12" t="s">
        <v>371</v>
      </c>
    </row>
    <row r="326" spans="1:10" ht="51" x14ac:dyDescent="0.25">
      <c r="A326" s="2" t="s">
        <v>45</v>
      </c>
      <c r="B326" s="3" t="s">
        <v>437</v>
      </c>
      <c r="C326" s="4" t="str">
        <f>HYPERLINK("https://transparencia-area-fim.mpce.mp.br/#/consulta/processo/pastadigital/092021000244550","09.2021.00024455-0")</f>
        <v>09.2021.00024455-0</v>
      </c>
      <c r="D326" s="5">
        <v>45393</v>
      </c>
      <c r="E326" s="9" t="str">
        <f>HYPERLINK("https://www8.mpce.mp.br/Empenhos/150001/Objeto/10-2022.pdf","ALUGUEL DO IMÓVEL QUE ABRIGA A SEDE DAS PROMOTORIAS DE JUSTIÇA DA COMARCA DE ICÓ, CONF. CONTRATO 010/2022-1º ADITIVO, REF. MAI E JUN/2024, POR ESTIMATIVA.")</f>
        <v>ALUGUEL DO IMÓVEL QUE ABRIGA A SEDE DAS PROMOTORIAS DE JUSTIÇA DA COMARCA DE ICÓ, CONF. CONTRATO 010/2022-1º ADITIVO, REF. MAI E JUN/2024, POR ESTIMATIVA.</v>
      </c>
      <c r="F326" s="3" t="s">
        <v>127</v>
      </c>
      <c r="G326" s="6" t="str">
        <f>HYPERLINK("http://www8.mpce.mp.br/Empenhos/150501/NE/2024NE000361.pdf","2024NE000361")</f>
        <v>2024NE000361</v>
      </c>
      <c r="H326" s="7">
        <v>26973</v>
      </c>
      <c r="I326" s="8" t="s">
        <v>435</v>
      </c>
      <c r="J326" s="12" t="s">
        <v>436</v>
      </c>
    </row>
    <row r="327" spans="1:10" ht="25.5" x14ac:dyDescent="0.25">
      <c r="A327" s="2" t="s">
        <v>45</v>
      </c>
      <c r="B327" s="3" t="s">
        <v>345</v>
      </c>
      <c r="C327" s="4" t="str">
        <f>HYPERLINK("http://www8.mpce.mp.br/Dispensa/842220170.pdf","8422/20170")</f>
        <v>8422/20170</v>
      </c>
      <c r="D327" s="5">
        <v>45393</v>
      </c>
      <c r="E327" s="9" t="str">
        <f>HYPERLINK("https://www8.mpce.mp.br/Empenhos/150001/Objeto/16-2017.pdf","EMPENHO DE TMRSU REFERENTE A 4ª PARCELA DE 2024, EM CONSONÂNCIA AO CONTRATO Nº 016/2017/PGJ.")</f>
        <v>EMPENHO DE TMRSU REFERENTE A 4ª PARCELA DE 2024, EM CONSONÂNCIA AO CONTRATO Nº 016/2017/PGJ.</v>
      </c>
      <c r="F327" s="3" t="s">
        <v>264</v>
      </c>
      <c r="G327" s="6" t="str">
        <f>HYPERLINK("http://www8.mpce.mp.br/Empenhos/150501/NE/2024NE000362.pdf","2024NE000362")</f>
        <v>2024NE000362</v>
      </c>
      <c r="H327" s="7">
        <v>152.32</v>
      </c>
      <c r="I327" s="8" t="s">
        <v>169</v>
      </c>
      <c r="J327" s="12" t="s">
        <v>170</v>
      </c>
    </row>
    <row r="328" spans="1:10" ht="38.25" x14ac:dyDescent="0.25">
      <c r="A328" s="2" t="s">
        <v>20</v>
      </c>
      <c r="B328" s="3" t="s">
        <v>91</v>
      </c>
      <c r="C328" s="4" t="str">
        <f>HYPERLINK("https://transparencia-area-fim.mpce.mp.br/#/consulta/processo/pastadigital/092023000047305","09.2023.00004730-5")</f>
        <v>09.2023.00004730-5</v>
      </c>
      <c r="D328" s="5">
        <v>45351</v>
      </c>
      <c r="E328" s="9" t="str">
        <f>HYPERLINK("https://www8.mpce.mp.br/Empenhos/150001/Objeto/13-2023.pdf","EMISSÃO DO ISBN, CÓDIGO DE BARRAS E REGISTROS AUTORAIS DE LIVROS DO MPCE, CONF. CONTRATO 013/2023, REF. FEV-DEZ/2024, POR ESTIMATIVA.")</f>
        <v>EMISSÃO DO ISBN, CÓDIGO DE BARRAS E REGISTROS AUTORAIS DE LIVROS DO MPCE, CONF. CONTRATO 013/2023, REF. FEV-DEZ/2024, POR ESTIMATIVA.</v>
      </c>
      <c r="F328" s="3" t="s">
        <v>92</v>
      </c>
      <c r="G328" s="6" t="str">
        <f>HYPERLINK("http://www8.mpce.mp.br/Empenhos/150001/NE/2024NE000365.pdf","2024NE000365")</f>
        <v>2024NE000365</v>
      </c>
      <c r="H328" s="7">
        <v>6236</v>
      </c>
      <c r="I328" s="8" t="s">
        <v>439</v>
      </c>
      <c r="J328" s="12" t="s">
        <v>440</v>
      </c>
    </row>
    <row r="329" spans="1:10" ht="38.25" x14ac:dyDescent="0.25">
      <c r="A329" s="2" t="s">
        <v>20</v>
      </c>
      <c r="B329" s="3" t="s">
        <v>91</v>
      </c>
      <c r="C329" s="4" t="str">
        <f>HYPERLINK("https://transparencia-area-fim.mpce.mp.br/#/consulta/processo/pastadigital/092023000047305","09.2023.00004730-5")</f>
        <v>09.2023.00004730-5</v>
      </c>
      <c r="D329" s="5">
        <v>45351</v>
      </c>
      <c r="E329" s="9" t="str">
        <f>HYPERLINK("https://www8.mpce.mp.br/Empenhos/150001/Objeto/13-2023.pdf","EMISSÃO DO ISBN, CÓDIGO DE BARRAS E REGISTROS AUTORAIS DE LIVROS DO MPCE, CONF. CONTRATO 013/2023, REF. FEV-DEZ/2024, POR ESTIMATIVA.")</f>
        <v>EMISSÃO DO ISBN, CÓDIGO DE BARRAS E REGISTROS AUTORAIS DE LIVROS DO MPCE, CONF. CONTRATO 013/2023, REF. FEV-DEZ/2024, POR ESTIMATIVA.</v>
      </c>
      <c r="F329" s="3" t="s">
        <v>92</v>
      </c>
      <c r="G329" s="6" t="str">
        <f>HYPERLINK("http://www8.mpce.mp.br/Empenhos/150001/NE/2024NE000365.pdf","2024NE000365")</f>
        <v>2024NE000365</v>
      </c>
      <c r="H329" s="7">
        <v>6236</v>
      </c>
      <c r="I329" s="8" t="s">
        <v>439</v>
      </c>
      <c r="J329" s="12" t="s">
        <v>440</v>
      </c>
    </row>
    <row r="330" spans="1:10" ht="38.25" x14ac:dyDescent="0.25">
      <c r="A330" s="2" t="s">
        <v>20</v>
      </c>
      <c r="B330" s="3" t="s">
        <v>91</v>
      </c>
      <c r="C330" s="4" t="str">
        <f>HYPERLINK("https://transparencia-area-fim.mpce.mp.br/#/consulta/processo/pastadigital/092023000047305","09.2023.00004730-5")</f>
        <v>09.2023.00004730-5</v>
      </c>
      <c r="D330" s="5">
        <v>45351</v>
      </c>
      <c r="E330" s="9" t="str">
        <f>HYPERLINK("https://www8.mpce.mp.br/Empenhos/150001/Objeto/13-2023.pdf","EMISSÃO DO ISBN, CÓDIGO DE BARRAS E REGISTROS AUTORAIS DE LIVROS DO MPCE, CONF. CONTRATO 013/2023, REF. FEV-DEZ/2024, POR ESTIMATIVA.")</f>
        <v>EMISSÃO DO ISBN, CÓDIGO DE BARRAS E REGISTROS AUTORAIS DE LIVROS DO MPCE, CONF. CONTRATO 013/2023, REF. FEV-DEZ/2024, POR ESTIMATIVA.</v>
      </c>
      <c r="F330" s="3" t="s">
        <v>92</v>
      </c>
      <c r="G330" s="6" t="str">
        <f>HYPERLINK("http://www8.mpce.mp.br/Empenhos/150001/NE/2024NE000365.pdf","2024NE000365")</f>
        <v>2024NE000365</v>
      </c>
      <c r="H330" s="7">
        <v>6236</v>
      </c>
      <c r="I330" s="8" t="s">
        <v>439</v>
      </c>
      <c r="J330" s="12" t="s">
        <v>440</v>
      </c>
    </row>
    <row r="331" spans="1:10" ht="38.25" x14ac:dyDescent="0.25">
      <c r="A331" s="2" t="s">
        <v>20</v>
      </c>
      <c r="B331" s="3" t="s">
        <v>91</v>
      </c>
      <c r="C331" s="4" t="str">
        <f>HYPERLINK("https://transparencia-area-fim.mpce.mp.br/#/consulta/processo/pastadigital/092023000047305","09.2023.00004730-5")</f>
        <v>09.2023.00004730-5</v>
      </c>
      <c r="D331" s="5">
        <v>45351</v>
      </c>
      <c r="E331" s="9" t="str">
        <f>HYPERLINK("https://www8.mpce.mp.br/Empenhos/150001/Objeto/13-2023.pdf","EMISSÃO DO ISBN, CÓDIGO DE BARRAS E REGISTROS AUTORAIS DE LIVROS DO MPCE, CONF. CONTRATO 013/2023, REF. FEV-DEZ/2024, POR ESTIMATIVA.")</f>
        <v>EMISSÃO DO ISBN, CÓDIGO DE BARRAS E REGISTROS AUTORAIS DE LIVROS DO MPCE, CONF. CONTRATO 013/2023, REF. FEV-DEZ/2024, POR ESTIMATIVA.</v>
      </c>
      <c r="F331" s="3" t="s">
        <v>92</v>
      </c>
      <c r="G331" s="6" t="str">
        <f>HYPERLINK("http://www8.mpce.mp.br/Empenhos/150001/NE/2024NE000365.pdf","2024NE000365")</f>
        <v>2024NE000365</v>
      </c>
      <c r="H331" s="7">
        <v>6236</v>
      </c>
      <c r="I331" s="8" t="s">
        <v>439</v>
      </c>
      <c r="J331" s="12" t="s">
        <v>440</v>
      </c>
    </row>
    <row r="332" spans="1:10" ht="38.25" x14ac:dyDescent="0.25">
      <c r="A332" s="2" t="s">
        <v>45</v>
      </c>
      <c r="B332" s="3" t="s">
        <v>441</v>
      </c>
      <c r="C332" s="4" t="str">
        <f>HYPERLINK("https://transparencia-area-fim.mpce.mp.br/#/consulta/processo/pastadigital/092020000123310","09.2020.00012331-0")</f>
        <v>09.2020.00012331-0</v>
      </c>
      <c r="D332" s="5">
        <v>45351</v>
      </c>
      <c r="E332" s="9" t="str">
        <f>HYPERLINK("https://www8.mpce.mp.br/Empenhos/150001/Objeto/06-2021.pdf","SERVIÇOS DE HOSPEDAGEM EM NUVENS DOS VOLUMES DA REVISTA ACADÊMICA DA ESMP, CONF. CONTRATO 006/2021, REF. JAN/2024.")</f>
        <v>SERVIÇOS DE HOSPEDAGEM EM NUVENS DOS VOLUMES DA REVISTA ACADÊMICA DA ESMP, CONF. CONTRATO 006/2021, REF. JAN/2024.</v>
      </c>
      <c r="F332" s="3" t="s">
        <v>442</v>
      </c>
      <c r="G332" s="6" t="str">
        <f>HYPERLINK("http://www8.mpce.mp.br/Empenhos/150001/NE/2024NE000366.pdf","2024NE000366")</f>
        <v>2024NE000366</v>
      </c>
      <c r="H332" s="7">
        <v>139</v>
      </c>
      <c r="I332" s="8" t="s">
        <v>443</v>
      </c>
      <c r="J332" s="12" t="s">
        <v>444</v>
      </c>
    </row>
    <row r="333" spans="1:10" ht="38.25" x14ac:dyDescent="0.25">
      <c r="A333" s="2" t="s">
        <v>45</v>
      </c>
      <c r="B333" s="3" t="s">
        <v>441</v>
      </c>
      <c r="C333" s="4" t="str">
        <f>HYPERLINK("https://transparencia-area-fim.mpce.mp.br/#/consulta/processo/pastadigital/092020000123310","09.2020.00012331-0")</f>
        <v>09.2020.00012331-0</v>
      </c>
      <c r="D333" s="5">
        <v>45351</v>
      </c>
      <c r="E333" s="9" t="str">
        <f>HYPERLINK("https://www8.mpce.mp.br/Empenhos/150001/Objeto/06-2021.pdf","SERVIÇOS DE HOSPEDAGEM EM NUVENS DOS VOLUMES DA REVISTA ACADÊMICA DA ESMP, CONF. CONTRATO 006/2021, REF. JAN/2024.")</f>
        <v>SERVIÇOS DE HOSPEDAGEM EM NUVENS DOS VOLUMES DA REVISTA ACADÊMICA DA ESMP, CONF. CONTRATO 006/2021, REF. JAN/2024.</v>
      </c>
      <c r="F333" s="3" t="s">
        <v>442</v>
      </c>
      <c r="G333" s="6" t="str">
        <f>HYPERLINK("http://www8.mpce.mp.br/Empenhos/150001/NE/2024NE000366.pdf","2024NE000366")</f>
        <v>2024NE000366</v>
      </c>
      <c r="H333" s="7">
        <v>139</v>
      </c>
      <c r="I333" s="8" t="s">
        <v>443</v>
      </c>
      <c r="J333" s="12" t="s">
        <v>444</v>
      </c>
    </row>
    <row r="334" spans="1:10" ht="38.25" x14ac:dyDescent="0.25">
      <c r="A334" s="2" t="s">
        <v>45</v>
      </c>
      <c r="B334" s="3" t="s">
        <v>441</v>
      </c>
      <c r="C334" s="4" t="str">
        <f>HYPERLINK("https://transparencia-area-fim.mpce.mp.br/#/consulta/processo/pastadigital/092020000123310","09.2020.00012331-0")</f>
        <v>09.2020.00012331-0</v>
      </c>
      <c r="D334" s="5">
        <v>45351</v>
      </c>
      <c r="E334" s="9" t="str">
        <f>HYPERLINK("https://www8.mpce.mp.br/Empenhos/150001/Objeto/06-2021.pdf","SERVIÇOS DE HOSPEDAGEM EM NUVENS DOS VOLUMES DA REVISTA ACADÊMICA DA ESMP, CONF. CONTRATO 006/2021, REF. JAN/2024.")</f>
        <v>SERVIÇOS DE HOSPEDAGEM EM NUVENS DOS VOLUMES DA REVISTA ACADÊMICA DA ESMP, CONF. CONTRATO 006/2021, REF. JAN/2024.</v>
      </c>
      <c r="F334" s="3" t="s">
        <v>442</v>
      </c>
      <c r="G334" s="6" t="str">
        <f>HYPERLINK("http://www8.mpce.mp.br/Empenhos/150001/NE/2024NE000366.pdf","2024NE000366")</f>
        <v>2024NE000366</v>
      </c>
      <c r="H334" s="7">
        <v>139</v>
      </c>
      <c r="I334" s="8" t="s">
        <v>443</v>
      </c>
      <c r="J334" s="12" t="s">
        <v>444</v>
      </c>
    </row>
    <row r="335" spans="1:10" ht="38.25" x14ac:dyDescent="0.25">
      <c r="A335" s="2" t="s">
        <v>45</v>
      </c>
      <c r="B335" s="3" t="s">
        <v>441</v>
      </c>
      <c r="C335" s="4" t="str">
        <f>HYPERLINK("https://transparencia-area-fim.mpce.mp.br/#/consulta/processo/pastadigital/092020000123310","09.2020.00012331-0")</f>
        <v>09.2020.00012331-0</v>
      </c>
      <c r="D335" s="5">
        <v>45351</v>
      </c>
      <c r="E335" s="9" t="str">
        <f>HYPERLINK("https://www8.mpce.mp.br/Empenhos/150001/Objeto/06-2021.pdf","SERVIÇOS DE HOSPEDAGEM EM NUVENS DOS VOLUMES DA REVISTA ACADÊMICA DA ESMP, CONF. CONTRATO 006/2021, REF. FEV-DEZ/2024, POR ESTIMATIVA.")</f>
        <v>SERVIÇOS DE HOSPEDAGEM EM NUVENS DOS VOLUMES DA REVISTA ACADÊMICA DA ESMP, CONF. CONTRATO 006/2021, REF. FEV-DEZ/2024, POR ESTIMATIVA.</v>
      </c>
      <c r="F335" s="3" t="s">
        <v>442</v>
      </c>
      <c r="G335" s="6" t="str">
        <f>HYPERLINK("http://www8.mpce.mp.br/Empenhos/150001/NE/2024NE000367.pdf","2024NE000367")</f>
        <v>2024NE000367</v>
      </c>
      <c r="H335" s="7">
        <v>1529</v>
      </c>
      <c r="I335" s="8" t="s">
        <v>443</v>
      </c>
      <c r="J335" s="12" t="s">
        <v>444</v>
      </c>
    </row>
    <row r="336" spans="1:10" ht="38.25" x14ac:dyDescent="0.25">
      <c r="A336" s="2" t="s">
        <v>45</v>
      </c>
      <c r="B336" s="3" t="s">
        <v>441</v>
      </c>
      <c r="C336" s="4" t="str">
        <f>HYPERLINK("https://transparencia-area-fim.mpce.mp.br/#/consulta/processo/pastadigital/092020000123310","09.2020.00012331-0")</f>
        <v>09.2020.00012331-0</v>
      </c>
      <c r="D336" s="5">
        <v>45351</v>
      </c>
      <c r="E336" s="9" t="str">
        <f>HYPERLINK("https://www8.mpce.mp.br/Empenhos/150001/Objeto/06-2021.pdf","SERVIÇOS DE HOSPEDAGEM EM NUVENS DOS VOLUMES DA REVISTA ACADÊMICA DA ESMP, CONF. CONTRATO 006/2021, REF. FEV-DEZ/2024, POR ESTIMATIVA.")</f>
        <v>SERVIÇOS DE HOSPEDAGEM EM NUVENS DOS VOLUMES DA REVISTA ACADÊMICA DA ESMP, CONF. CONTRATO 006/2021, REF. FEV-DEZ/2024, POR ESTIMATIVA.</v>
      </c>
      <c r="F336" s="3" t="s">
        <v>442</v>
      </c>
      <c r="G336" s="6" t="str">
        <f>HYPERLINK("http://www8.mpce.mp.br/Empenhos/150001/NE/2024NE000367.pdf","2024NE000367")</f>
        <v>2024NE000367</v>
      </c>
      <c r="H336" s="7">
        <v>1529</v>
      </c>
      <c r="I336" s="8" t="s">
        <v>443</v>
      </c>
      <c r="J336" s="12" t="s">
        <v>444</v>
      </c>
    </row>
    <row r="337" spans="1:10" ht="38.25" x14ac:dyDescent="0.25">
      <c r="A337" s="2" t="s">
        <v>45</v>
      </c>
      <c r="B337" s="3" t="s">
        <v>441</v>
      </c>
      <c r="C337" s="4" t="str">
        <f>HYPERLINK("https://transparencia-area-fim.mpce.mp.br/#/consulta/processo/pastadigital/092020000123310","09.2020.00012331-0")</f>
        <v>09.2020.00012331-0</v>
      </c>
      <c r="D337" s="5">
        <v>45351</v>
      </c>
      <c r="E337" s="9" t="str">
        <f>HYPERLINK("https://www8.mpce.mp.br/Empenhos/150001/Objeto/06-2021.pdf","SERVIÇOS DE HOSPEDAGEM EM NUVENS DOS VOLUMES DA REVISTA ACADÊMICA DA ESMP, CONF. CONTRATO 006/2021, REF. FEV-DEZ/2024, POR ESTIMATIVA.")</f>
        <v>SERVIÇOS DE HOSPEDAGEM EM NUVENS DOS VOLUMES DA REVISTA ACADÊMICA DA ESMP, CONF. CONTRATO 006/2021, REF. FEV-DEZ/2024, POR ESTIMATIVA.</v>
      </c>
      <c r="F337" s="3" t="s">
        <v>442</v>
      </c>
      <c r="G337" s="6" t="str">
        <f>HYPERLINK("http://www8.mpce.mp.br/Empenhos/150001/NE/2024NE000367.pdf","2024NE000367")</f>
        <v>2024NE000367</v>
      </c>
      <c r="H337" s="7">
        <v>1529</v>
      </c>
      <c r="I337" s="8" t="s">
        <v>443</v>
      </c>
      <c r="J337" s="12" t="s">
        <v>444</v>
      </c>
    </row>
    <row r="338" spans="1:10" ht="51" x14ac:dyDescent="0.25">
      <c r="A338" s="2" t="s">
        <v>45</v>
      </c>
      <c r="B338" s="3" t="s">
        <v>357</v>
      </c>
      <c r="C338" s="4" t="str">
        <f>HYPERLINK("http://www8.mpce.mp.br/Dispensa/1955220197.pdf","19552/2019-7")</f>
        <v>19552/2019-7</v>
      </c>
      <c r="D338" s="5">
        <v>45394</v>
      </c>
      <c r="E338" s="9" t="str">
        <f>HYPERLINK("https://www8.mpce.mp.br/Empenhos/150001/Objeto/85-2019.pdf","REEMBOLSO DE IPTU DO IMÓVEL ONDE FUNCIONA A SEDE DAS PROMOTORIAS DE JUSTIÇA DA COMARCA DE PARAIPABA, CONF. CONTRATO 085/2019, REF. 2024  PARCELA ÚNICA. ")</f>
        <v xml:space="preserve">REEMBOLSO DE IPTU DO IMÓVEL ONDE FUNCIONA A SEDE DAS PROMOTORIAS DE JUSTIÇA DA COMARCA DE PARAIPABA, CONF. CONTRATO 085/2019, REF. 2024  PARCELA ÚNICA. </v>
      </c>
      <c r="F338" s="3" t="s">
        <v>419</v>
      </c>
      <c r="G338" s="6" t="str">
        <f>HYPERLINK("http://www8.mpce.mp.br/Empenhos/150501/NE/2024NE000368.pdf","2024NE000368")</f>
        <v>2024NE000368</v>
      </c>
      <c r="H338" s="7">
        <v>100.29</v>
      </c>
      <c r="I338" s="8" t="s">
        <v>197</v>
      </c>
      <c r="J338" s="12" t="s">
        <v>198</v>
      </c>
    </row>
    <row r="339" spans="1:10" ht="56.25" x14ac:dyDescent="0.25">
      <c r="A339" s="2" t="s">
        <v>45</v>
      </c>
      <c r="B339" s="3" t="s">
        <v>491</v>
      </c>
      <c r="C339" s="4" t="str">
        <f>HYPERLINK("https://transparencia-area-fim.mpce.mp.br/#/consulta/processo/pastadigital/092023000287468","09.2023.00028746-8")</f>
        <v>09.2023.00028746-8</v>
      </c>
      <c r="D339" s="5">
        <v>45405</v>
      </c>
      <c r="E339" s="9" t="str">
        <f>HYPERLINK("https://www8.mpce.mp.br/Empenhos/150001/Objeto/58-2023.pdf","EMPENHO REF. SERVIÇOS DE SUPORTE TÉCNICO DE SISTEMA E TREINAMENTO ESPECÍFICO, CONF. CONTRATO 058/2023 E PROJETO 052/2023/FRMMP, REF. 2024, POR ESTIMATIVA. ")</f>
        <v xml:space="preserve">EMPENHO REF. SERVIÇOS DE SUPORTE TÉCNICO DE SISTEMA E TREINAMENTO ESPECÍFICO, CONF. CONTRATO 058/2023 E PROJETO 052/2023/FRMMP, REF. 2024, POR ESTIMATIVA. </v>
      </c>
      <c r="F339" s="3" t="s">
        <v>120</v>
      </c>
      <c r="G339" s="6" t="str">
        <f>HYPERLINK("http://www8.mpce.mp.br/Empenhos/150501/NE/2024NE000389.pdf","2024NE000389")</f>
        <v>2024NE000389</v>
      </c>
      <c r="H339" s="7">
        <v>251545.76</v>
      </c>
      <c r="I339" s="8" t="s">
        <v>255</v>
      </c>
      <c r="J339" s="12" t="s">
        <v>256</v>
      </c>
    </row>
    <row r="340" spans="1:10" ht="51" x14ac:dyDescent="0.25">
      <c r="A340" s="2" t="s">
        <v>45</v>
      </c>
      <c r="B340" s="3" t="s">
        <v>492</v>
      </c>
      <c r="C340" s="4" t="str">
        <f>HYPERLINK("http://www8.mpce.mp.br/Dispensa/2826420164.pdf","28264/2016-4")</f>
        <v>28264/2016-4</v>
      </c>
      <c r="D340" s="5">
        <v>45406</v>
      </c>
      <c r="E340" s="9" t="str">
        <f>HYPERLINK("https://www8.mpce.mp.br/Empenhos/150001/Objeto/26-2016.pdf","EMPENHO REF. REEMBOLSO DE IPTU DO IMÓVEL SITUADO NA AV. ANTONIO SALES, 1740 - DIONÍSIO TORRES, ONDE FUNCIONAM AS SEDES DOS CENTROS DE APOIO E INVESTIGAÇÃO, REF. 2024 - 3ª PARCELA (MAR/2024).")</f>
        <v>EMPENHO REF. REEMBOLSO DE IPTU DO IMÓVEL SITUADO NA AV. ANTONIO SALES, 1740 - DIONÍSIO TORRES, ONDE FUNCIONAM AS SEDES DOS CENTROS DE APOIO E INVESTIGAÇÃO, REF. 2024 - 3ª PARCELA (MAR/2024).</v>
      </c>
      <c r="F340" s="3" t="s">
        <v>264</v>
      </c>
      <c r="G340" s="6" t="str">
        <f>HYPERLINK("http://www8.mpce.mp.br/Empenhos/150501/NE/2024NE000392.pdf","2024NE000392")</f>
        <v>2024NE000392</v>
      </c>
      <c r="H340" s="7">
        <v>3155.01</v>
      </c>
      <c r="I340" s="8" t="s">
        <v>153</v>
      </c>
      <c r="J340" s="12" t="s">
        <v>154</v>
      </c>
    </row>
    <row r="341" spans="1:10" ht="51" x14ac:dyDescent="0.25">
      <c r="A341" s="2" t="s">
        <v>45</v>
      </c>
      <c r="B341" s="3" t="s">
        <v>493</v>
      </c>
      <c r="C341" s="4" t="str">
        <f>HYPERLINK("http://www8.mpce.mp.br/Dispensa/1721020046.pdf","17210/2004-6")</f>
        <v>17210/2004-6</v>
      </c>
      <c r="D341" s="5">
        <v>45407</v>
      </c>
      <c r="E341" s="9" t="str">
        <f>HYPERLINK("https://www8.mpce.mp.br/Empenhos/150001/Objeto/02-2004.pdf","EMPENHO REF. ALUGUEL DO IMÓVEL SITUADO NA RUA BARÃO DE ARATANHA, 100 - CENTRO, FORTALEZA-CE, ONDE FUNCIONA A SEDE DO DECON-CE, REF. MAI-JUN/2024, POR ESTIMATIVA.")</f>
        <v>EMPENHO REF. ALUGUEL DO IMÓVEL SITUADO NA RUA BARÃO DE ARATANHA, 100 - CENTRO, FORTALEZA-CE, ONDE FUNCIONA A SEDE DO DECON-CE, REF. MAI-JUN/2024, POR ESTIMATIVA.</v>
      </c>
      <c r="F341" s="3" t="s">
        <v>127</v>
      </c>
      <c r="G341" s="6" t="str">
        <f>HYPERLINK("http://www8.mpce.mp.br/Empenhos/150501/NE/2024NE000393.pdf","2024NE000393")</f>
        <v>2024NE000393</v>
      </c>
      <c r="H341" s="7">
        <v>71579.399999999994</v>
      </c>
      <c r="I341" s="8" t="s">
        <v>131</v>
      </c>
      <c r="J341" s="12" t="s">
        <v>132</v>
      </c>
    </row>
    <row r="342" spans="1:10" ht="56.25" x14ac:dyDescent="0.25">
      <c r="A342" s="2" t="s">
        <v>45</v>
      </c>
      <c r="B342" s="3" t="s">
        <v>494</v>
      </c>
      <c r="C342" s="4" t="str">
        <f>HYPERLINK("https://transparencia-area-fim.mpce.mp.br/#/consulta/processo/pastadigital/092022000197876","09.2022.00019787-6")</f>
        <v>09.2022.00019787-6</v>
      </c>
      <c r="D342" s="5">
        <v>45407</v>
      </c>
      <c r="E342" s="9" t="str">
        <f>HYPERLINK("https://www8.mpce.mp.br/Empenhos/150001/Objeto/02-2023.pdf","EMPENHO REF. ALUGUEL DO IMÓVEL ONDE FUNCIONA A SEDE DO NÚCLEO DE MEDIAÇÃO COMUNITÁRIA DO BOM JARDIM, CONF. CONTRATO 002/2023, REF. MAI-JUN/2024, POR ESTIMATIVA.")</f>
        <v>EMPENHO REF. ALUGUEL DO IMÓVEL ONDE FUNCIONA A SEDE DO NÚCLEO DE MEDIAÇÃO COMUNITÁRIA DO BOM JARDIM, CONF. CONTRATO 002/2023, REF. MAI-JUN/2024, POR ESTIMATIVA.</v>
      </c>
      <c r="F342" s="3" t="s">
        <v>127</v>
      </c>
      <c r="G342" s="6" t="str">
        <f>HYPERLINK("http://www8.mpce.mp.br/Empenhos/150501/NE/2024NE000394.pdf","2024NE000394")</f>
        <v>2024NE000394</v>
      </c>
      <c r="H342" s="7">
        <v>11200</v>
      </c>
      <c r="I342" s="8" t="s">
        <v>134</v>
      </c>
      <c r="J342" s="12" t="s">
        <v>135</v>
      </c>
    </row>
    <row r="343" spans="1:10" ht="51" x14ac:dyDescent="0.25">
      <c r="A343" s="2" t="s">
        <v>45</v>
      </c>
      <c r="B343" s="3" t="s">
        <v>495</v>
      </c>
      <c r="C343" s="4" t="str">
        <f>HYPERLINK("https://transparencia-area-fim.mpce.mp.br/#/consulta/processo/pastadigital/092021000079244","09.2021.00007924-4")</f>
        <v>09.2021.00007924-4</v>
      </c>
      <c r="D343" s="5">
        <v>45407</v>
      </c>
      <c r="E343" s="9" t="str">
        <f>HYPERLINK("https://www8.mpce.mp.br/Empenhos/150001/Objeto/27-2021.pdf","EMPENHO REF. ALUGUEL DO IMÓVEL ONDE FUNCIONA A SEDE DAS PROMOTORIAS DE JUSTIÇA DA COMARCA DE EUSÉBIO, CONF. CONTRATO 027/2021,REF. MAI-JUN, POR ESTIMATIVA.")</f>
        <v>EMPENHO REF. ALUGUEL DO IMÓVEL ONDE FUNCIONA A SEDE DAS PROMOTORIAS DE JUSTIÇA DA COMARCA DE EUSÉBIO, CONF. CONTRATO 027/2021,REF. MAI-JUN, POR ESTIMATIVA.</v>
      </c>
      <c r="F343" s="3" t="s">
        <v>127</v>
      </c>
      <c r="G343" s="6" t="str">
        <f>HYPERLINK("http://www8.mpce.mp.br/Empenhos/150501/NE/2024NE000397.pdf","2024NE000397")</f>
        <v>2024NE000397</v>
      </c>
      <c r="H343" s="7">
        <v>11092.2</v>
      </c>
      <c r="I343" s="8" t="s">
        <v>155</v>
      </c>
      <c r="J343" s="12" t="s">
        <v>156</v>
      </c>
    </row>
    <row r="344" spans="1:10" ht="51" x14ac:dyDescent="0.25">
      <c r="A344" s="2" t="s">
        <v>45</v>
      </c>
      <c r="B344" s="3" t="s">
        <v>496</v>
      </c>
      <c r="C344" s="4" t="str">
        <f>HYPERLINK("https://transparencia-area-fim.mpce.mp.br/#/consulta/processo/pastadigital/092021000079244","09.2021.00007924-4")</f>
        <v>09.2021.00007924-4</v>
      </c>
      <c r="D344" s="5">
        <v>45407</v>
      </c>
      <c r="E344" s="9" t="str">
        <f>HYPERLINK("https://www8.mpce.mp.br/Empenhos/150001/Objeto/27-2021.pdf","EMPENHO REF. TAXAS CONDOMINIAIS DO IMÓVEL ONDE FUNCIONA A SEDE DAS PROMOTORIAS DE JUSTIÇA DA COMARCA DE EUSÉBIO, CONF. CONTRATO 027/2021, REF. MAI-JUN, POR ESTIMATIVA.")</f>
        <v>EMPENHO REF. TAXAS CONDOMINIAIS DO IMÓVEL ONDE FUNCIONA A SEDE DAS PROMOTORIAS DE JUSTIÇA DA COMARCA DE EUSÉBIO, CONF. CONTRATO 027/2021, REF. MAI-JUN, POR ESTIMATIVA.</v>
      </c>
      <c r="F344" s="3" t="s">
        <v>242</v>
      </c>
      <c r="G344" s="6" t="str">
        <f>HYPERLINK("http://www8.mpce.mp.br/Empenhos/150501/NE/2024NE000398.pdf","2024NE000398")</f>
        <v>2024NE000398</v>
      </c>
      <c r="H344" s="7">
        <v>2975.76</v>
      </c>
      <c r="I344" s="8" t="s">
        <v>155</v>
      </c>
      <c r="J344" s="12" t="s">
        <v>156</v>
      </c>
    </row>
    <row r="345" spans="1:10" ht="51" x14ac:dyDescent="0.25">
      <c r="A345" s="2" t="s">
        <v>45</v>
      </c>
      <c r="B345" s="3" t="s">
        <v>497</v>
      </c>
      <c r="C345" s="4" t="str">
        <f>HYPERLINK("https://transparencia-area-fim.mpce.mp.br/#/consulta/processo/pastadigital/092021000219739","09.2021.00021973-9")</f>
        <v>09.2021.00021973-9</v>
      </c>
      <c r="D345" s="5">
        <v>45407</v>
      </c>
      <c r="E345" s="9" t="str">
        <f>HYPERLINK("https://www8.mpce.mp.br/Empenhos/150001/Objeto/45-2021.pdf","EMPENHO REF. TAXAS CONDOMINIAIS DE IMÓVEL ONDE FUNCIONA SEDE DE PROMOTORIAS DE JUSTIÇA DA COMARCA DO EUSÉBIO-CE, CONF. CONTRATO 045/2021, REF. MAI-JUN, POR ESTIMATIVA.")</f>
        <v>EMPENHO REF. TAXAS CONDOMINIAIS DE IMÓVEL ONDE FUNCIONA SEDE DE PROMOTORIAS DE JUSTIÇA DA COMARCA DO EUSÉBIO-CE, CONF. CONTRATO 045/2021, REF. MAI-JUN, POR ESTIMATIVA.</v>
      </c>
      <c r="F345" s="3" t="s">
        <v>242</v>
      </c>
      <c r="G345" s="6" t="str">
        <f>HYPERLINK("http://www8.mpce.mp.br/Empenhos/150501/NE/2024NE000399.pdf","2024NE000399")</f>
        <v>2024NE000399</v>
      </c>
      <c r="H345" s="7">
        <v>924.98</v>
      </c>
      <c r="I345" s="8" t="s">
        <v>155</v>
      </c>
      <c r="J345" s="12" t="s">
        <v>156</v>
      </c>
    </row>
    <row r="346" spans="1:10" ht="51" x14ac:dyDescent="0.25">
      <c r="A346" s="2" t="s">
        <v>45</v>
      </c>
      <c r="B346" s="3" t="s">
        <v>498</v>
      </c>
      <c r="C346" s="4" t="str">
        <f>HYPERLINK("http://www8.mpce.mp.br/Dispensa/4503020176.pdf","45030/2017-6")</f>
        <v>45030/2017-6</v>
      </c>
      <c r="D346" s="5">
        <v>45407</v>
      </c>
      <c r="E346" s="9" t="str">
        <f>HYPERLINK("https://www8.mpce.mp.br/Empenhos/150001/Objeto/74-2019.pdf","EMPENHO REF. ALUGUEL DE IMÓVEL ONDE FUNCIONA A SEDE DAS PROMOTORIAS DE JUSTIÇA DA COMARCA DE GRANJA, CONF. CONTRATO 074/2019, REF. MAI-JUN, POR ESTIMATIVA.")</f>
        <v>EMPENHO REF. ALUGUEL DE IMÓVEL ONDE FUNCIONA A SEDE DAS PROMOTORIAS DE JUSTIÇA DA COMARCA DE GRANJA, CONF. CONTRATO 074/2019, REF. MAI-JUN, POR ESTIMATIVA.</v>
      </c>
      <c r="F346" s="3" t="s">
        <v>172</v>
      </c>
      <c r="G346" s="6" t="str">
        <f>HYPERLINK("http://www8.mpce.mp.br/Empenhos/150501/NE/2024NE000401.pdf","2024NE000401")</f>
        <v>2024NE000401</v>
      </c>
      <c r="H346" s="7">
        <v>4376.0200000000004</v>
      </c>
      <c r="I346" s="8" t="s">
        <v>247</v>
      </c>
      <c r="J346" s="12" t="s">
        <v>248</v>
      </c>
    </row>
    <row r="347" spans="1:10" ht="51" x14ac:dyDescent="0.25">
      <c r="A347" s="2" t="s">
        <v>45</v>
      </c>
      <c r="B347" s="3" t="s">
        <v>499</v>
      </c>
      <c r="C347" s="4" t="str">
        <f>HYPERLINK("http://www8.mpce.mp.br/Dispensa/2887720171.pdf","28877/2017-1")</f>
        <v>28877/2017-1</v>
      </c>
      <c r="D347" s="5">
        <v>45408</v>
      </c>
      <c r="E347" s="9" t="str">
        <f>HYPERLINK("https://www8.mpce.mp.br/Empenhos/150001/Objeto/24-2019.pdf","ALUGUEL DO IMÓVEL ONDE FUNCIONA A SEDE DAS PROMOTORIAS DE JUSTIÇA DA COMARCA DE JAGUARIBE, CONF. CONTRATO 024/2019, REF. MAI E JUN/2024, POR ESTIMATIVA.")</f>
        <v>ALUGUEL DO IMÓVEL ONDE FUNCIONA A SEDE DAS PROMOTORIAS DE JUSTIÇA DA COMARCA DE JAGUARIBE, CONF. CONTRATO 024/2019, REF. MAI E JUN/2024, POR ESTIMATIVA.</v>
      </c>
      <c r="F347" s="3" t="s">
        <v>127</v>
      </c>
      <c r="G347" s="6" t="str">
        <f>HYPERLINK("http://www8.mpce.mp.br/Empenhos/150501/NE/2024NE000406.pdf","2024NE000406")</f>
        <v>2024NE000406</v>
      </c>
      <c r="H347" s="7">
        <v>2862.7</v>
      </c>
      <c r="I347" s="8" t="s">
        <v>151</v>
      </c>
      <c r="J347" s="12" t="s">
        <v>152</v>
      </c>
    </row>
    <row r="348" spans="1:10" ht="51" x14ac:dyDescent="0.25">
      <c r="A348" s="2" t="s">
        <v>45</v>
      </c>
      <c r="B348" s="3" t="s">
        <v>500</v>
      </c>
      <c r="C348" s="4" t="str">
        <f>HYPERLINK("http://www8.mpce.mp.br/Dispensa/2004820193.pdf","20048/2019-3")</f>
        <v>20048/2019-3</v>
      </c>
      <c r="D348" s="5">
        <v>45408</v>
      </c>
      <c r="E348" s="9" t="str">
        <f>HYPERLINK("https://www8.mpce.mp.br/Empenhos/150001/Objeto/84-2019.pdf","ALUGUEL DE IMÓVEL ONDE FUNCIONA A SEDE DAS PROMOTORIAS DE JUSTIÇA DA COMARCA DE MOMBAÇA, CONF. CONTRATO 084/2019, REF. MAI E JUN/2024, POR ESTIMATIVA.")</f>
        <v>ALUGUEL DE IMÓVEL ONDE FUNCIONA A SEDE DAS PROMOTORIAS DE JUSTIÇA DA COMARCA DE MOMBAÇA, CONF. CONTRATO 084/2019, REF. MAI E JUN/2024, POR ESTIMATIVA.</v>
      </c>
      <c r="F348" s="3" t="s">
        <v>172</v>
      </c>
      <c r="G348" s="6" t="str">
        <f>HYPERLINK("http://www8.mpce.mp.br/Empenhos/150501/NE/2024NE000410.pdf","2024NE000410")</f>
        <v>2024NE000410</v>
      </c>
      <c r="H348" s="7">
        <v>8000</v>
      </c>
      <c r="I348" s="8" t="s">
        <v>173</v>
      </c>
      <c r="J348" s="12" t="s">
        <v>174</v>
      </c>
    </row>
    <row r="349" spans="1:10" ht="76.5" x14ac:dyDescent="0.25">
      <c r="A349" s="2" t="s">
        <v>20</v>
      </c>
      <c r="B349" s="3" t="s">
        <v>445</v>
      </c>
      <c r="C349" s="4" t="str">
        <f>HYPERLINK("https://transparencia-area-fim.mpce.mp.br/#/consulta/processo/pastadigital/092024000061600","09.2024.00006160-0")</f>
        <v>09.2024.00006160-0</v>
      </c>
      <c r="D349" s="5">
        <v>45358</v>
      </c>
      <c r="E349" s="9" t="s">
        <v>446</v>
      </c>
      <c r="F349" s="3" t="s">
        <v>399</v>
      </c>
      <c r="G349" s="6" t="str">
        <f>HYPERLINK("http://www8.mpce.mp.br/Empenhos/150001/NE/2024NE000476.pdf","2024NE000476")</f>
        <v>2024NE000476</v>
      </c>
      <c r="H349" s="7">
        <v>29700</v>
      </c>
      <c r="I349" s="8" t="s">
        <v>447</v>
      </c>
      <c r="J349" s="12" t="s">
        <v>448</v>
      </c>
    </row>
    <row r="350" spans="1:10" ht="63.75" x14ac:dyDescent="0.25">
      <c r="A350" s="2" t="s">
        <v>45</v>
      </c>
      <c r="B350" s="3" t="s">
        <v>449</v>
      </c>
      <c r="C350" s="4" t="str">
        <f>HYPERLINK("https://transparencia-area-fim.mpce.mp.br/#/consulta/processo/pastadigital/092024000073618","09.2024.00007361-8")</f>
        <v>09.2024.00007361-8</v>
      </c>
      <c r="D350" s="5">
        <v>45364</v>
      </c>
      <c r="E350" s="9" t="s">
        <v>450</v>
      </c>
      <c r="F350" s="3" t="s">
        <v>236</v>
      </c>
      <c r="G350" s="6" t="str">
        <f>HYPERLINK("http://www8.mpce.mp.br/Empenhos/150001/NE/2024NE000506.pdf","2024NE000506")</f>
        <v>2024NE000506</v>
      </c>
      <c r="H350" s="7">
        <v>6230.5</v>
      </c>
      <c r="I350" s="8" t="s">
        <v>451</v>
      </c>
      <c r="J350" s="12" t="s">
        <v>452</v>
      </c>
    </row>
    <row r="351" spans="1:10" ht="114.75" x14ac:dyDescent="0.25">
      <c r="A351" s="2" t="s">
        <v>20</v>
      </c>
      <c r="B351" s="3" t="s">
        <v>453</v>
      </c>
      <c r="C351" s="4" t="str">
        <f>HYPERLINK("https://transparencia-area-fim.mpce.mp.br/#/consulta/processo/pastadigital/092024000062332","09.2024.00006233-2")</f>
        <v>09.2024.00006233-2</v>
      </c>
      <c r="D351" s="5">
        <v>45364</v>
      </c>
      <c r="E351" s="9" t="s">
        <v>454</v>
      </c>
      <c r="F351" s="3" t="s">
        <v>399</v>
      </c>
      <c r="G351" s="6" t="str">
        <f>HYPERLINK("http://www8.mpce.mp.br/Empenhos/150001/NE/2024NE000508.pdf","2024NE000508")</f>
        <v>2024NE000508</v>
      </c>
      <c r="H351" s="7">
        <v>5400</v>
      </c>
      <c r="I351" s="8" t="s">
        <v>455</v>
      </c>
      <c r="J351" s="12" t="s">
        <v>456</v>
      </c>
    </row>
    <row r="352" spans="1:10" ht="78.75" x14ac:dyDescent="0.25">
      <c r="A352" s="2" t="s">
        <v>45</v>
      </c>
      <c r="B352" s="3" t="s">
        <v>457</v>
      </c>
      <c r="C352" s="4" t="str">
        <f>HYPERLINK("https://transparencia-area-fim.mpce.mp.br/#/consulta/processo/pastadigital/092023000403493","09.2023.00040349-3")</f>
        <v>09.2023.00040349-3</v>
      </c>
      <c r="D352" s="5">
        <v>45369</v>
      </c>
      <c r="E352" s="9" t="s">
        <v>458</v>
      </c>
      <c r="F352" s="3" t="s">
        <v>459</v>
      </c>
      <c r="G352" s="6" t="str">
        <f>HYPERLINK("http://www8.mpce.mp.br/Empenhos/150001/NE/2024NE000528.pdf","2024NE000528")</f>
        <v>2024NE000528</v>
      </c>
      <c r="H352" s="7">
        <v>3479</v>
      </c>
      <c r="I352" s="8" t="s">
        <v>460</v>
      </c>
      <c r="J352" s="12" t="s">
        <v>461</v>
      </c>
    </row>
    <row r="353" spans="1:10" ht="127.5" x14ac:dyDescent="0.25">
      <c r="A353" s="2" t="s">
        <v>20</v>
      </c>
      <c r="B353" s="3" t="s">
        <v>462</v>
      </c>
      <c r="C353" s="4" t="str">
        <f>HYPERLINK("https://transparencia-area-fim.mpce.mp.br/#/consulta/processo/pastadigital/092024000026236","09.2024.00002623-6")</f>
        <v>09.2024.00002623-6</v>
      </c>
      <c r="D353" s="5">
        <v>45369</v>
      </c>
      <c r="E353" s="9" t="s">
        <v>463</v>
      </c>
      <c r="F353" s="3" t="s">
        <v>464</v>
      </c>
      <c r="G353" s="6" t="str">
        <f>HYPERLINK("http://www8.mpce.mp.br/Empenhos/150001/NE/2024NE000529.pdf","2024NE000529")</f>
        <v>2024NE000529</v>
      </c>
      <c r="H353" s="7">
        <v>31055</v>
      </c>
      <c r="I353" s="8" t="s">
        <v>465</v>
      </c>
      <c r="J353" s="12" t="s">
        <v>466</v>
      </c>
    </row>
    <row r="354" spans="1:10" ht="38.25" x14ac:dyDescent="0.25">
      <c r="A354" s="2" t="s">
        <v>20</v>
      </c>
      <c r="B354" s="3" t="s">
        <v>91</v>
      </c>
      <c r="C354" s="4" t="str">
        <f>HYPERLINK("https://transparencia-area-fim.mpce.mp.br/#/consulta/processo/pastadigital/092024000108657","09.2024.00010865-7")</f>
        <v>09.2024.00010865-7</v>
      </c>
      <c r="D354" s="5">
        <v>45378</v>
      </c>
      <c r="E354" s="9" t="s">
        <v>467</v>
      </c>
      <c r="F354" s="3" t="s">
        <v>70</v>
      </c>
      <c r="G354" s="6" t="str">
        <f>HYPERLINK("http://www8.mpce.mp.br/Empenhos/150001/NE/2024NE000619.pdf","2024NE000619")</f>
        <v>2024NE000619</v>
      </c>
      <c r="H354" s="7">
        <v>117.84</v>
      </c>
      <c r="I354" s="8" t="s">
        <v>103</v>
      </c>
      <c r="J354" s="12" t="s">
        <v>104</v>
      </c>
    </row>
    <row r="355" spans="1:10" ht="25.5" x14ac:dyDescent="0.25">
      <c r="A355" s="2" t="s">
        <v>20</v>
      </c>
      <c r="B355" s="3" t="s">
        <v>91</v>
      </c>
      <c r="C355" s="4" t="str">
        <f>HYPERLINK("https://transparencia-area-fim.mpce.mp.br/#/consulta/processo/pastadigital/092024000108679","09.2024.00010867-9")</f>
        <v>09.2024.00010867-9</v>
      </c>
      <c r="D355" s="5">
        <v>45378</v>
      </c>
      <c r="E355" s="9" t="s">
        <v>468</v>
      </c>
      <c r="F355" s="3" t="s">
        <v>70</v>
      </c>
      <c r="G355" s="6" t="str">
        <f>HYPERLINK("http://www8.mpce.mp.br/Empenhos/150001/NE/2024NE000620.pdf","2024NE000620")</f>
        <v>2024NE000620</v>
      </c>
      <c r="H355" s="7">
        <v>608.22</v>
      </c>
      <c r="I355" s="8" t="s">
        <v>106</v>
      </c>
      <c r="J355" s="12" t="s">
        <v>107</v>
      </c>
    </row>
    <row r="356" spans="1:10" ht="38.25" x14ac:dyDescent="0.25">
      <c r="A356" s="2" t="s">
        <v>20</v>
      </c>
      <c r="B356" s="3" t="s">
        <v>91</v>
      </c>
      <c r="C356" s="4" t="str">
        <f>HYPERLINK("https://transparencia-area-fim.mpce.mp.br/#/consulta/processo/pastadigital/092024000108724","09.2024.00010872-4")</f>
        <v>09.2024.00010872-4</v>
      </c>
      <c r="D356" s="5">
        <v>45378</v>
      </c>
      <c r="E356" s="9" t="s">
        <v>469</v>
      </c>
      <c r="F356" s="3" t="s">
        <v>70</v>
      </c>
      <c r="G356" s="6" t="str">
        <f>HYPERLINK("http://www8.mpce.mp.br/Empenhos/150001/NE/2024NE000622.pdf","2024NE000622")</f>
        <v>2024NE000622</v>
      </c>
      <c r="H356" s="7">
        <v>450</v>
      </c>
      <c r="I356" s="8" t="s">
        <v>118</v>
      </c>
      <c r="J356" s="12" t="s">
        <v>119</v>
      </c>
    </row>
    <row r="357" spans="1:10" ht="38.25" x14ac:dyDescent="0.25">
      <c r="A357" s="2" t="s">
        <v>20</v>
      </c>
      <c r="B357" s="3" t="s">
        <v>91</v>
      </c>
      <c r="C357" s="4" t="str">
        <f>HYPERLINK("https://transparencia-area-fim.mpce.mp.br/#/consulta/processo/pastadigital/092024000110963","09.2024.00011096-3")</f>
        <v>09.2024.00011096-3</v>
      </c>
      <c r="D357" s="5">
        <v>45378</v>
      </c>
      <c r="E357" s="9" t="s">
        <v>470</v>
      </c>
      <c r="F357" s="3" t="s">
        <v>70</v>
      </c>
      <c r="G357" s="6" t="str">
        <f>HYPERLINK("http://www8.mpce.mp.br/Empenhos/150001/NE/2024NE000638.pdf","2024NE000638")</f>
        <v>2024NE000638</v>
      </c>
      <c r="H357" s="7">
        <v>60.78</v>
      </c>
      <c r="I357" s="8" t="s">
        <v>96</v>
      </c>
      <c r="J357" s="12" t="s">
        <v>97</v>
      </c>
    </row>
    <row r="358" spans="1:10" ht="25.5" x14ac:dyDescent="0.25">
      <c r="A358" s="2" t="s">
        <v>20</v>
      </c>
      <c r="B358" s="3" t="s">
        <v>471</v>
      </c>
      <c r="C358" s="4" t="str">
        <f>HYPERLINK("https://transparencia-area-fim.mpce.mp.br/#/consulta/processo/pastadigital/092024000111007","09.2024.00011100-7")</f>
        <v>09.2024.00011100-7</v>
      </c>
      <c r="D358" s="5">
        <v>45383</v>
      </c>
      <c r="E358" s="9" t="s">
        <v>472</v>
      </c>
      <c r="F358" s="3" t="s">
        <v>70</v>
      </c>
      <c r="G358" s="6" t="str">
        <f>HYPERLINK("http://www8.mpce.mp.br/Empenhos/150001/NE/2024NE000642.pdf","2024NE000642")</f>
        <v>2024NE000642</v>
      </c>
      <c r="H358" s="7">
        <v>600</v>
      </c>
      <c r="I358" s="8" t="s">
        <v>89</v>
      </c>
      <c r="J358" s="12" t="s">
        <v>90</v>
      </c>
    </row>
    <row r="359" spans="1:10" ht="38.25" x14ac:dyDescent="0.25">
      <c r="A359" s="2" t="s">
        <v>20</v>
      </c>
      <c r="B359" s="3" t="s">
        <v>471</v>
      </c>
      <c r="C359" s="4" t="str">
        <f>HYPERLINK("https://transparencia-area-fim.mpce.mp.br/#/consulta/processo/pastadigital/092024000111395","09.2024.00011139-5")</f>
        <v>09.2024.00011139-5</v>
      </c>
      <c r="D359" s="5">
        <v>45383</v>
      </c>
      <c r="E359" s="9" t="s">
        <v>473</v>
      </c>
      <c r="F359" s="3" t="s">
        <v>70</v>
      </c>
      <c r="G359" s="6" t="str">
        <f>HYPERLINK("http://www8.mpce.mp.br/Empenhos/150001/NE/2024NE000644.pdf","2024NE000644")</f>
        <v>2024NE000644</v>
      </c>
      <c r="H359" s="7">
        <v>271.32</v>
      </c>
      <c r="I359" s="8" t="s">
        <v>86</v>
      </c>
      <c r="J359" s="12" t="s">
        <v>87</v>
      </c>
    </row>
    <row r="360" spans="1:10" ht="38.25" x14ac:dyDescent="0.25">
      <c r="A360" s="2" t="s">
        <v>20</v>
      </c>
      <c r="B360" s="3" t="s">
        <v>21</v>
      </c>
      <c r="C360" s="4" t="str">
        <f>HYPERLINK("https://transparencia-area-fim.mpce.mp.br/#/consulta/processo/pastadigital/092024000111429","09.2024.00011142-9")</f>
        <v>09.2024.00011142-9</v>
      </c>
      <c r="D360" s="5">
        <v>45383</v>
      </c>
      <c r="E360" s="9" t="s">
        <v>474</v>
      </c>
      <c r="F360" s="3" t="s">
        <v>70</v>
      </c>
      <c r="G360" s="6" t="str">
        <f>HYPERLINK("http://www8.mpce.mp.br/Empenhos/150001/NE/2024NE000673.pdf","2024NE000673")</f>
        <v>2024NE000673</v>
      </c>
      <c r="H360" s="7">
        <v>900</v>
      </c>
      <c r="I360" s="8" t="s">
        <v>80</v>
      </c>
      <c r="J360" s="12" t="s">
        <v>81</v>
      </c>
    </row>
    <row r="361" spans="1:10" ht="38.25" x14ac:dyDescent="0.25">
      <c r="A361" s="2" t="s">
        <v>20</v>
      </c>
      <c r="B361" s="3" t="s">
        <v>475</v>
      </c>
      <c r="C361" s="4" t="str">
        <f>HYPERLINK("https://transparencia-area-fim.mpce.mp.br/#/consulta/processo/pastadigital/092024000111430","09.2024.00011143-0")</f>
        <v>09.2024.00011143-0</v>
      </c>
      <c r="D361" s="5">
        <v>45383</v>
      </c>
      <c r="E361" s="9" t="s">
        <v>476</v>
      </c>
      <c r="F361" s="3" t="s">
        <v>70</v>
      </c>
      <c r="G361" s="6" t="str">
        <f>HYPERLINK("http://www8.mpce.mp.br/Empenhos/150001/NE/2024NE000684.pdf","2024NE000684")</f>
        <v>2024NE000684</v>
      </c>
      <c r="H361" s="7">
        <v>188.73</v>
      </c>
      <c r="I361" s="8" t="s">
        <v>77</v>
      </c>
      <c r="J361" s="12" t="s">
        <v>78</v>
      </c>
    </row>
    <row r="362" spans="1:10" ht="38.25" x14ac:dyDescent="0.25">
      <c r="A362" s="2" t="s">
        <v>20</v>
      </c>
      <c r="B362" s="3" t="s">
        <v>475</v>
      </c>
      <c r="C362" s="4" t="str">
        <f>HYPERLINK("https://transparencia-area-fim.mpce.mp.br/#/consulta/processo/pastadigital/092024000111473","09.2024.00011147-3")</f>
        <v>09.2024.00011147-3</v>
      </c>
      <c r="D362" s="5">
        <v>45383</v>
      </c>
      <c r="E362" s="9" t="s">
        <v>477</v>
      </c>
      <c r="F362" s="3" t="s">
        <v>70</v>
      </c>
      <c r="G362" s="6" t="str">
        <f>HYPERLINK("http://www8.mpce.mp.br/Empenhos/150001/NE/2024NE000685.pdf","2024NE000685")</f>
        <v>2024NE000685</v>
      </c>
      <c r="H362" s="7">
        <v>150</v>
      </c>
      <c r="I362" s="8" t="s">
        <v>74</v>
      </c>
      <c r="J362" s="12" t="s">
        <v>75</v>
      </c>
    </row>
    <row r="363" spans="1:10" ht="38.25" x14ac:dyDescent="0.25">
      <c r="A363" s="2" t="s">
        <v>20</v>
      </c>
      <c r="B363" s="3" t="s">
        <v>21</v>
      </c>
      <c r="C363" s="4" t="str">
        <f>HYPERLINK("https://transparencia-area-fim.mpce.mp.br/#/consulta/processo/pastadigital/092024000111562","09.2024.00011156-2")</f>
        <v>09.2024.00011156-2</v>
      </c>
      <c r="D363" s="5">
        <v>45383</v>
      </c>
      <c r="E363" s="9" t="s">
        <v>478</v>
      </c>
      <c r="F363" s="3" t="s">
        <v>70</v>
      </c>
      <c r="G363" s="6" t="str">
        <f>HYPERLINK("http://www8.mpce.mp.br/Empenhos/150001/NE/2024NE000686.pdf","2024NE000686")</f>
        <v>2024NE000686</v>
      </c>
      <c r="H363" s="7">
        <v>900</v>
      </c>
      <c r="I363" s="8" t="s">
        <v>43</v>
      </c>
      <c r="J363" s="12" t="s">
        <v>44</v>
      </c>
    </row>
    <row r="364" spans="1:10" ht="38.25" x14ac:dyDescent="0.25">
      <c r="A364" s="2" t="s">
        <v>20</v>
      </c>
      <c r="B364" s="3" t="s">
        <v>475</v>
      </c>
      <c r="C364" s="4" t="str">
        <f>HYPERLINK("https://transparencia-area-fim.mpce.mp.br/#/consulta/processo/pastadigital/092024000112406","09.2024.00011240-6")</f>
        <v>09.2024.00011240-6</v>
      </c>
      <c r="D364" s="5">
        <v>45383</v>
      </c>
      <c r="E364" s="9" t="s">
        <v>479</v>
      </c>
      <c r="F364" s="3" t="s">
        <v>70</v>
      </c>
      <c r="G364" s="6" t="str">
        <f>HYPERLINK("http://www8.mpce.mp.br/Empenhos/150001/NE/2024NE000690.pdf","2024NE000690")</f>
        <v>2024NE000690</v>
      </c>
      <c r="H364" s="7">
        <v>735.48</v>
      </c>
      <c r="I364" s="8" t="s">
        <v>38</v>
      </c>
      <c r="J364" s="12" t="s">
        <v>39</v>
      </c>
    </row>
    <row r="365" spans="1:10" ht="38.25" x14ac:dyDescent="0.25">
      <c r="A365" s="2" t="s">
        <v>20</v>
      </c>
      <c r="B365" s="3" t="s">
        <v>21</v>
      </c>
      <c r="C365" s="4" t="str">
        <f>HYPERLINK("https://transparencia-area-fim.mpce.mp.br/#/consulta/processo/pastadigital/092024000112417","09.2024.00011241-7")</f>
        <v>09.2024.00011241-7</v>
      </c>
      <c r="D365" s="5">
        <v>45383</v>
      </c>
      <c r="E365" s="9" t="s">
        <v>480</v>
      </c>
      <c r="F365" s="3" t="s">
        <v>70</v>
      </c>
      <c r="G365" s="6" t="str">
        <f>HYPERLINK("http://www8.mpce.mp.br/Empenhos/150001/NE/2024NE000692.pdf","2024NE000692")</f>
        <v>2024NE000692</v>
      </c>
      <c r="H365" s="7">
        <v>226.05</v>
      </c>
      <c r="I365" s="8" t="s">
        <v>25</v>
      </c>
      <c r="J365" s="12" t="s">
        <v>26</v>
      </c>
    </row>
    <row r="366" spans="1:10" ht="38.25" x14ac:dyDescent="0.25">
      <c r="A366" s="2" t="s">
        <v>20</v>
      </c>
      <c r="B366" s="3" t="s">
        <v>475</v>
      </c>
      <c r="C366" s="4" t="str">
        <f>HYPERLINK("https://transparencia-area-fim.mpce.mp.br/#/consulta/processo/pastadigital/092024000112428","09.2024.00011242-8")</f>
        <v>09.2024.00011242-8</v>
      </c>
      <c r="D366" s="5">
        <v>45383</v>
      </c>
      <c r="E366" s="9" t="s">
        <v>481</v>
      </c>
      <c r="F366" s="3" t="s">
        <v>70</v>
      </c>
      <c r="G366" s="6" t="str">
        <f>HYPERLINK("http://www8.mpce.mp.br/Empenhos/150001/NE/2024NE000693.pdf","2024NE000693")</f>
        <v>2024NE000693</v>
      </c>
      <c r="H366" s="7">
        <v>615</v>
      </c>
      <c r="I366" s="8" t="s">
        <v>30</v>
      </c>
      <c r="J366" s="12" t="s">
        <v>31</v>
      </c>
    </row>
    <row r="367" spans="1:10" ht="38.25" x14ac:dyDescent="0.25">
      <c r="A367" s="2" t="s">
        <v>20</v>
      </c>
      <c r="B367" s="3" t="s">
        <v>21</v>
      </c>
      <c r="C367" s="4" t="str">
        <f>HYPERLINK("https://transparencia-area-fim.mpce.mp.br/#/consulta/processo/pastadigital/092024000112450","09.2024.00011245-0")</f>
        <v>09.2024.00011245-0</v>
      </c>
      <c r="D367" s="5">
        <v>45383</v>
      </c>
      <c r="E367" s="9" t="s">
        <v>482</v>
      </c>
      <c r="F367" s="3" t="s">
        <v>70</v>
      </c>
      <c r="G367" s="6" t="str">
        <f>HYPERLINK("http://www8.mpce.mp.br/Empenhos/150001/NE/2024NE000695.pdf","2024NE000695")</f>
        <v>2024NE000695</v>
      </c>
      <c r="H367" s="7">
        <v>3000</v>
      </c>
      <c r="I367" s="8" t="s">
        <v>109</v>
      </c>
      <c r="J367" s="12" t="s">
        <v>110</v>
      </c>
    </row>
    <row r="368" spans="1:10" ht="38.25" x14ac:dyDescent="0.25">
      <c r="A368" s="2" t="s">
        <v>20</v>
      </c>
      <c r="B368" s="3" t="s">
        <v>21</v>
      </c>
      <c r="C368" s="4" t="str">
        <f>HYPERLINK("https://transparencia-area-fim.mpce.mp.br/#/consulta/processo/pastadigital/092024000112483","09.2024.00011248-3")</f>
        <v>09.2024.00011248-3</v>
      </c>
      <c r="D368" s="5">
        <v>45383</v>
      </c>
      <c r="E368" s="9" t="s">
        <v>483</v>
      </c>
      <c r="F368" s="3" t="s">
        <v>70</v>
      </c>
      <c r="G368" s="6" t="str">
        <f>HYPERLINK("http://www8.mpce.mp.br/Empenhos/150001/NE/2024NE000696.pdf","2024NE000696")</f>
        <v>2024NE000696</v>
      </c>
      <c r="H368" s="7">
        <v>419.16</v>
      </c>
      <c r="I368" s="8" t="s">
        <v>112</v>
      </c>
      <c r="J368" s="12" t="s">
        <v>113</v>
      </c>
    </row>
    <row r="369" spans="1:10" ht="38.25" x14ac:dyDescent="0.25">
      <c r="A369" s="2" t="s">
        <v>20</v>
      </c>
      <c r="B369" s="3" t="s">
        <v>475</v>
      </c>
      <c r="C369" s="4" t="str">
        <f>HYPERLINK("https://transparencia-area-fim.mpce.mp.br/#/consulta/processo/pastadigital/092024000112517","09.2024.00011251-7")</f>
        <v>09.2024.00011251-7</v>
      </c>
      <c r="D369" s="5">
        <v>45384</v>
      </c>
      <c r="E369" s="9" t="s">
        <v>484</v>
      </c>
      <c r="F369" s="3" t="s">
        <v>70</v>
      </c>
      <c r="G369" s="6" t="str">
        <f>HYPERLINK("http://www8.mpce.mp.br/Empenhos/150001/NE/2024NE000702.pdf","2024NE000702")</f>
        <v>2024NE000702</v>
      </c>
      <c r="H369" s="7">
        <v>45000</v>
      </c>
      <c r="I369" s="8" t="s">
        <v>115</v>
      </c>
      <c r="J369" s="12" t="s">
        <v>116</v>
      </c>
    </row>
    <row r="370" spans="1:10" ht="51" x14ac:dyDescent="0.25">
      <c r="A370" s="2" t="s">
        <v>45</v>
      </c>
      <c r="B370" s="3" t="s">
        <v>485</v>
      </c>
      <c r="C370" s="4" t="str">
        <f>HYPERLINK("http://www8.mpce.mp.br/Dispensa/405320185.pdf","4053/2018-5")</f>
        <v>4053/2018-5</v>
      </c>
      <c r="D370" s="5">
        <v>45384</v>
      </c>
      <c r="E370" s="9" t="str">
        <f>HYPERLINK("https://www8.mpce.mp.br/Empenhos/150001/Objeto/35-2018.pdf","MANUTENÇÃO DE ELEVADOR NO PRÉDIO ANEXO DAS PROCURADORIAS, CONFORME CONTRATO 035/2018, POR ESTIMATIVA, RELATIVO AOS MESES DE ABRIL À JUNHO/2024.")</f>
        <v>MANUTENÇÃO DE ELEVADOR NO PRÉDIO ANEXO DAS PROCURADORIAS, CONFORME CONTRATO 035/2018, POR ESTIMATIVA, RELATIVO AOS MESES DE ABRIL À JUNHO/2024.</v>
      </c>
      <c r="F370" s="3" t="s">
        <v>148</v>
      </c>
      <c r="G370" s="6" t="str">
        <f>HYPERLINK("http://www8.mpce.mp.br/Empenhos/150001/NE/2024NE000703.pdf","2024NE000703")</f>
        <v>2024NE000703</v>
      </c>
      <c r="H370" s="7">
        <v>2850</v>
      </c>
      <c r="I370" s="8" t="s">
        <v>149</v>
      </c>
      <c r="J370" s="12" t="s">
        <v>150</v>
      </c>
    </row>
    <row r="371" spans="1:10" ht="51" x14ac:dyDescent="0.25">
      <c r="A371" s="2" t="s">
        <v>45</v>
      </c>
      <c r="B371" s="3" t="s">
        <v>98</v>
      </c>
      <c r="C371" s="4" t="str">
        <f>HYPERLINK("https://transparencia-area-fim.mpce.mp.br/#/consulta/processo/pastadigital/092020000071437","09.2020.00007143-7")</f>
        <v>09.2020.00007143-7</v>
      </c>
      <c r="D371" s="5">
        <v>45387</v>
      </c>
      <c r="E371" s="9" t="str">
        <f>HYPERLINK("https://www8.mpce.mp.br/Empenhos/150001/Objeto/23-2020.pdf","FORNECIMENTO DE PRODUTOS E DE DIVERSOS SERVIÇOS DOS CORREIOS POR MEIO DOS CANAIS DE ATENDIMENTO DISPONIBILIZADOS, CONF. CONTRATO 023/2020, REF. ABR, MAI E JUN/2024, POR ESTIMATIVA.")</f>
        <v>FORNECIMENTO DE PRODUTOS E DE DIVERSOS SERVIÇOS DOS CORREIOS POR MEIO DOS CANAIS DE ATENDIMENTO DISPONIBILIZADOS, CONF. CONTRATO 023/2020, REF. ABR, MAI E JUN/2024, POR ESTIMATIVA.</v>
      </c>
      <c r="F371" s="3" t="s">
        <v>99</v>
      </c>
      <c r="G371" s="6" t="str">
        <f>HYPERLINK("http://www8.mpce.mp.br/Empenhos/150001/NE/2024NE000795.pdf","2024NE000795")</f>
        <v>2024NE000795</v>
      </c>
      <c r="H371" s="7">
        <v>60000</v>
      </c>
      <c r="I371" s="8" t="s">
        <v>100</v>
      </c>
      <c r="J371" s="12" t="s">
        <v>101</v>
      </c>
    </row>
    <row r="372" spans="1:10" ht="63.75" x14ac:dyDescent="0.25">
      <c r="A372" s="2" t="s">
        <v>45</v>
      </c>
      <c r="B372" s="3" t="s">
        <v>486</v>
      </c>
      <c r="C372" s="4" t="str">
        <f>HYPERLINK("https://transparencia-area-fim.mpce.mp.br/#/consulta/processo/pastadigital/092024000111207","09.2024.00011120-7")</f>
        <v>09.2024.00011120-7</v>
      </c>
      <c r="D372" s="5">
        <v>45393</v>
      </c>
      <c r="E372" s="9" t="s">
        <v>487</v>
      </c>
      <c r="F372" s="3" t="s">
        <v>488</v>
      </c>
      <c r="G372" s="6" t="str">
        <f>HYPERLINK("http://www8.mpce.mp.br/Empenhos/150001/NE/2024NE000856.pdf","2024NE000856")</f>
        <v>2024NE000856</v>
      </c>
      <c r="H372" s="7">
        <v>2250</v>
      </c>
      <c r="I372" s="8" t="s">
        <v>489</v>
      </c>
      <c r="J372" s="12" t="s">
        <v>490</v>
      </c>
    </row>
    <row r="373" spans="1:10" ht="63.75" x14ac:dyDescent="0.25">
      <c r="A373" s="2" t="s">
        <v>20</v>
      </c>
      <c r="B373" s="3" t="s">
        <v>501</v>
      </c>
      <c r="C373" s="4" t="str">
        <f>HYPERLINK("https://transparencia-area-fim.mpce.mp.br/#/consulta/processo/pastadigital/092024000103284","09.2024.00010328-4")</f>
        <v>09.2024.00010328-4</v>
      </c>
      <c r="D373" s="5">
        <v>45406</v>
      </c>
      <c r="E373" s="9" t="s">
        <v>502</v>
      </c>
      <c r="F373" s="3" t="s">
        <v>399</v>
      </c>
      <c r="G373" s="6" t="str">
        <f>HYPERLINK("http://www8.mpce.mp.br/Empenhos/150001/NE/2024NE000942.pdf","2024NE000942")</f>
        <v>2024NE000942</v>
      </c>
      <c r="H373" s="7">
        <v>33000</v>
      </c>
      <c r="I373" s="8" t="s">
        <v>400</v>
      </c>
      <c r="J373" s="12" t="s">
        <v>401</v>
      </c>
    </row>
    <row r="374" spans="1:10" ht="67.5" x14ac:dyDescent="0.25">
      <c r="A374" s="2" t="s">
        <v>45</v>
      </c>
      <c r="B374" s="3" t="s">
        <v>503</v>
      </c>
      <c r="C374" s="4" t="str">
        <f>HYPERLINK("https://transparencia-area-fim.mpce.mp.br/#/consulta/processo/pastadigital/092023000241238","09.2023.00024123-8")</f>
        <v>09.2023.00024123-8</v>
      </c>
      <c r="D374" s="5">
        <v>45406</v>
      </c>
      <c r="E374" s="9" t="str">
        <f>HYPERLINK("https://www8.mpce.mp.br/Empenhos/150001/Objeto/29-2024.pdf","EMPENHO GLOBAL REF. SERVIÇOS DE TECNOLOGIA ASSISTIVA VOLTADOS A PESSOAS COM DEFICIÊNCIA VISUAL, PARA ATENDER AS DEMANDAS DO MPCE, CONF. CONTRATO 029/2024, REF. ABR A AGO/2024.")</f>
        <v>EMPENHO GLOBAL REF. SERVIÇOS DE TECNOLOGIA ASSISTIVA VOLTADOS A PESSOAS COM DEFICIÊNCIA VISUAL, PARA ATENDER AS DEMANDAS DO MPCE, CONF. CONTRATO 029/2024, REF. ABR A AGO/2024.</v>
      </c>
      <c r="F374" s="3" t="s">
        <v>92</v>
      </c>
      <c r="G374" s="6" t="str">
        <f>HYPERLINK("http://www8.mpce.mp.br/Empenhos/150001/NE/2024NE000947.pdf","2024NE000947")</f>
        <v>2024NE000947</v>
      </c>
      <c r="H374" s="7">
        <v>8270</v>
      </c>
      <c r="I374" s="8" t="s">
        <v>504</v>
      </c>
      <c r="J374" s="12" t="s">
        <v>505</v>
      </c>
    </row>
    <row r="375" spans="1:10" ht="76.5" x14ac:dyDescent="0.25">
      <c r="A375" s="2" t="s">
        <v>20</v>
      </c>
      <c r="B375" s="3" t="s">
        <v>506</v>
      </c>
      <c r="C375" s="4" t="str">
        <f>HYPERLINK("https://transparencia-area-fim.mpce.mp.br/#/consulta/processo/pastadigital/092024000136197","09.2024.00013619-7")</f>
        <v>09.2024.00013619-7</v>
      </c>
      <c r="D375" s="5">
        <v>45408</v>
      </c>
      <c r="E375" s="9" t="s">
        <v>507</v>
      </c>
      <c r="F375" s="3" t="s">
        <v>399</v>
      </c>
      <c r="G375" s="6" t="str">
        <f>HYPERLINK("http://www8.mpce.mp.br/Empenhos/150001/NE/2024NE000976.pdf","2024NE000976")</f>
        <v>2024NE000976</v>
      </c>
      <c r="H375" s="7">
        <v>3190</v>
      </c>
      <c r="I375" s="8" t="s">
        <v>508</v>
      </c>
      <c r="J375" s="12" t="s">
        <v>509</v>
      </c>
    </row>
    <row r="376" spans="1:10" x14ac:dyDescent="0.25">
      <c r="A376" s="2"/>
      <c r="B376" s="3"/>
      <c r="C376" s="4" t="str">
        <f t="shared" ref="C376:C389" si="0">IF(A376="","",HYPERLINK(W376,O376))</f>
        <v/>
      </c>
      <c r="D376" s="5"/>
      <c r="E376" s="9" t="str">
        <f t="shared" ref="E376:E388" si="1">IF(A376="","",IF(T376="",M376,HYPERLINK(X376,M376)))</f>
        <v/>
      </c>
      <c r="F376" s="3"/>
      <c r="G376" s="6" t="str">
        <f t="shared" ref="G376:G387" si="2">IF(A376="","",HYPERLINK(N376,S376))</f>
        <v/>
      </c>
      <c r="H376" s="7"/>
      <c r="I376" s="8"/>
      <c r="J376" s="12"/>
    </row>
    <row r="377" spans="1:10" x14ac:dyDescent="0.25">
      <c r="A377" s="2"/>
      <c r="B377" s="3"/>
      <c r="C377" s="4" t="str">
        <f t="shared" si="0"/>
        <v/>
      </c>
      <c r="D377" s="5"/>
      <c r="E377" s="9" t="str">
        <f t="shared" si="1"/>
        <v/>
      </c>
      <c r="F377" s="3"/>
      <c r="G377" s="6" t="str">
        <f t="shared" si="2"/>
        <v/>
      </c>
      <c r="H377" s="7"/>
      <c r="I377" s="8"/>
      <c r="J377" s="12"/>
    </row>
    <row r="378" spans="1:10" x14ac:dyDescent="0.25">
      <c r="A378" s="2"/>
      <c r="B378" s="3"/>
      <c r="C378" s="4" t="str">
        <f t="shared" si="0"/>
        <v/>
      </c>
      <c r="D378" s="5"/>
      <c r="E378" s="9" t="str">
        <f t="shared" si="1"/>
        <v/>
      </c>
      <c r="F378" s="3"/>
      <c r="G378" s="6" t="str">
        <f t="shared" si="2"/>
        <v/>
      </c>
      <c r="H378" s="7"/>
      <c r="I378" s="8"/>
      <c r="J378" s="12"/>
    </row>
    <row r="379" spans="1:10" x14ac:dyDescent="0.25">
      <c r="A379" s="2"/>
      <c r="B379" s="3"/>
      <c r="C379" s="4" t="str">
        <f t="shared" si="0"/>
        <v/>
      </c>
      <c r="D379" s="5"/>
      <c r="E379" s="9" t="str">
        <f t="shared" si="1"/>
        <v/>
      </c>
      <c r="F379" s="3"/>
      <c r="G379" s="6" t="str">
        <f t="shared" si="2"/>
        <v/>
      </c>
      <c r="H379" s="7"/>
      <c r="I379" s="8"/>
      <c r="J379" s="12"/>
    </row>
    <row r="380" spans="1:10" x14ac:dyDescent="0.25">
      <c r="A380" s="2"/>
      <c r="B380" s="3"/>
      <c r="C380" s="4" t="str">
        <f t="shared" si="0"/>
        <v/>
      </c>
      <c r="D380" s="5"/>
      <c r="E380" s="9" t="str">
        <f t="shared" si="1"/>
        <v/>
      </c>
      <c r="F380" s="3"/>
      <c r="G380" s="6" t="str">
        <f t="shared" si="2"/>
        <v/>
      </c>
      <c r="H380" s="7"/>
      <c r="I380" s="8"/>
      <c r="J380" s="12"/>
    </row>
    <row r="381" spans="1:10" x14ac:dyDescent="0.25">
      <c r="A381" s="2"/>
      <c r="B381" s="3"/>
      <c r="C381" s="4" t="str">
        <f t="shared" si="0"/>
        <v/>
      </c>
      <c r="D381" s="5"/>
      <c r="E381" s="9" t="str">
        <f t="shared" si="1"/>
        <v/>
      </c>
      <c r="F381" s="3"/>
      <c r="G381" s="6" t="str">
        <f t="shared" si="2"/>
        <v/>
      </c>
      <c r="H381" s="7"/>
      <c r="I381" s="8"/>
      <c r="J381" s="12"/>
    </row>
    <row r="382" spans="1:10" x14ac:dyDescent="0.25">
      <c r="A382" s="2"/>
      <c r="B382" s="3"/>
      <c r="C382" s="4" t="str">
        <f t="shared" si="0"/>
        <v/>
      </c>
      <c r="D382" s="5"/>
      <c r="E382" s="9" t="str">
        <f t="shared" si="1"/>
        <v/>
      </c>
      <c r="F382" s="3"/>
      <c r="G382" s="6" t="str">
        <f t="shared" si="2"/>
        <v/>
      </c>
      <c r="H382" s="7"/>
      <c r="I382" s="8"/>
      <c r="J382" s="12"/>
    </row>
    <row r="383" spans="1:10" x14ac:dyDescent="0.25">
      <c r="A383" s="2"/>
      <c r="B383" s="3"/>
      <c r="C383" s="4" t="str">
        <f t="shared" si="0"/>
        <v/>
      </c>
      <c r="D383" s="5"/>
      <c r="E383" s="9" t="str">
        <f t="shared" si="1"/>
        <v/>
      </c>
      <c r="F383" s="3"/>
      <c r="G383" s="6" t="str">
        <f t="shared" si="2"/>
        <v/>
      </c>
      <c r="H383" s="7"/>
      <c r="I383" s="8"/>
      <c r="J383" s="12"/>
    </row>
    <row r="384" spans="1:10" x14ac:dyDescent="0.25">
      <c r="A384" s="2"/>
      <c r="B384" s="3"/>
      <c r="C384" s="4" t="str">
        <f t="shared" si="0"/>
        <v/>
      </c>
      <c r="D384" s="5"/>
      <c r="E384" s="9" t="str">
        <f t="shared" si="1"/>
        <v/>
      </c>
      <c r="F384" s="3"/>
      <c r="G384" s="6" t="str">
        <f t="shared" si="2"/>
        <v/>
      </c>
      <c r="H384" s="7"/>
      <c r="I384" s="8"/>
      <c r="J384" s="12"/>
    </row>
    <row r="385" spans="1:10" x14ac:dyDescent="0.25">
      <c r="A385" s="2"/>
      <c r="B385" s="3"/>
      <c r="C385" s="4" t="str">
        <f t="shared" si="0"/>
        <v/>
      </c>
      <c r="D385" s="5"/>
      <c r="E385" s="9" t="str">
        <f t="shared" si="1"/>
        <v/>
      </c>
      <c r="F385" s="3"/>
      <c r="G385" s="6" t="str">
        <f t="shared" si="2"/>
        <v/>
      </c>
      <c r="H385" s="7"/>
      <c r="I385" s="8"/>
      <c r="J385" s="12"/>
    </row>
    <row r="386" spans="1:10" x14ac:dyDescent="0.25">
      <c r="A386" s="2"/>
      <c r="B386" s="3"/>
      <c r="C386" s="4" t="str">
        <f t="shared" si="0"/>
        <v/>
      </c>
      <c r="D386" s="5"/>
      <c r="E386" s="9" t="str">
        <f t="shared" si="1"/>
        <v/>
      </c>
      <c r="F386" s="3"/>
      <c r="G386" s="6" t="str">
        <f t="shared" si="2"/>
        <v/>
      </c>
      <c r="H386" s="7"/>
      <c r="I386" s="8"/>
      <c r="J386" s="12"/>
    </row>
    <row r="387" spans="1:10" x14ac:dyDescent="0.25">
      <c r="A387" s="2"/>
      <c r="B387" s="3"/>
      <c r="C387" s="4" t="str">
        <f t="shared" si="0"/>
        <v/>
      </c>
      <c r="D387" s="5"/>
      <c r="E387" s="9" t="str">
        <f t="shared" si="1"/>
        <v/>
      </c>
      <c r="F387" s="3"/>
      <c r="G387" s="6" t="str">
        <f t="shared" si="2"/>
        <v/>
      </c>
      <c r="H387" s="7"/>
      <c r="I387" s="8"/>
      <c r="J387" s="12"/>
    </row>
    <row r="388" spans="1:10" x14ac:dyDescent="0.25">
      <c r="A388" s="2"/>
      <c r="B388" s="3"/>
      <c r="C388" s="4" t="str">
        <f t="shared" si="0"/>
        <v/>
      </c>
      <c r="D388" s="5"/>
      <c r="E388" s="9" t="str">
        <f t="shared" si="1"/>
        <v/>
      </c>
      <c r="F388" s="3"/>
      <c r="G388" s="6" t="str">
        <f t="shared" ref="G388:G451" si="3">IF(A388="","",HYPERLINK(N388,S388))</f>
        <v/>
      </c>
      <c r="H388" s="7"/>
      <c r="I388" s="8"/>
      <c r="J388" s="12"/>
    </row>
    <row r="389" spans="1:10" x14ac:dyDescent="0.25">
      <c r="A389" s="2"/>
      <c r="B389" s="3"/>
      <c r="C389" s="4" t="str">
        <f t="shared" si="0"/>
        <v/>
      </c>
      <c r="D389" s="5"/>
      <c r="E389" s="9" t="str">
        <f t="shared" ref="E389:E452" si="4">IF(A389="","",IF(T389="",M389,HYPERLINK(X389,M389)))</f>
        <v/>
      </c>
      <c r="F389" s="3"/>
      <c r="G389" s="6" t="str">
        <f t="shared" si="3"/>
        <v/>
      </c>
      <c r="H389" s="7"/>
      <c r="I389" s="8"/>
      <c r="J389" s="12"/>
    </row>
    <row r="390" spans="1:10" x14ac:dyDescent="0.25">
      <c r="A390" s="2"/>
      <c r="B390" s="3"/>
      <c r="C390" s="4" t="str">
        <f t="shared" ref="C390:C453" si="5">IF(A390="","",HYPERLINK(W390,O390))</f>
        <v/>
      </c>
      <c r="D390" s="5"/>
      <c r="E390" s="9" t="str">
        <f t="shared" si="4"/>
        <v/>
      </c>
      <c r="F390" s="3"/>
      <c r="G390" s="6" t="str">
        <f t="shared" si="3"/>
        <v/>
      </c>
      <c r="H390" s="7"/>
      <c r="I390" s="8"/>
      <c r="J390" s="12"/>
    </row>
    <row r="391" spans="1:10" x14ac:dyDescent="0.25">
      <c r="A391" s="2"/>
      <c r="B391" s="3"/>
      <c r="C391" s="4" t="str">
        <f t="shared" si="5"/>
        <v/>
      </c>
      <c r="D391" s="5"/>
      <c r="E391" s="9" t="str">
        <f t="shared" si="4"/>
        <v/>
      </c>
      <c r="F391" s="3"/>
      <c r="G391" s="6" t="str">
        <f t="shared" si="3"/>
        <v/>
      </c>
      <c r="H391" s="7"/>
      <c r="I391" s="8"/>
      <c r="J391" s="12"/>
    </row>
    <row r="392" spans="1:10" x14ac:dyDescent="0.25">
      <c r="A392" s="2"/>
      <c r="B392" s="3"/>
      <c r="C392" s="4" t="str">
        <f t="shared" si="5"/>
        <v/>
      </c>
      <c r="D392" s="5"/>
      <c r="E392" s="9" t="str">
        <f t="shared" si="4"/>
        <v/>
      </c>
      <c r="F392" s="3"/>
      <c r="G392" s="6" t="str">
        <f t="shared" si="3"/>
        <v/>
      </c>
      <c r="H392" s="7"/>
      <c r="I392" s="8"/>
      <c r="J392" s="12"/>
    </row>
    <row r="393" spans="1:10" x14ac:dyDescent="0.25">
      <c r="A393" s="2"/>
      <c r="B393" s="3"/>
      <c r="C393" s="4" t="str">
        <f t="shared" si="5"/>
        <v/>
      </c>
      <c r="D393" s="5"/>
      <c r="E393" s="9" t="str">
        <f t="shared" si="4"/>
        <v/>
      </c>
      <c r="F393" s="3"/>
      <c r="G393" s="6" t="str">
        <f t="shared" si="3"/>
        <v/>
      </c>
      <c r="H393" s="7"/>
      <c r="I393" s="8"/>
      <c r="J393" s="12"/>
    </row>
    <row r="394" spans="1:10" x14ac:dyDescent="0.25">
      <c r="A394" s="2"/>
      <c r="B394" s="3"/>
      <c r="C394" s="4" t="str">
        <f t="shared" si="5"/>
        <v/>
      </c>
      <c r="D394" s="5"/>
      <c r="E394" s="9" t="str">
        <f t="shared" si="4"/>
        <v/>
      </c>
      <c r="F394" s="3"/>
      <c r="G394" s="6" t="str">
        <f t="shared" si="3"/>
        <v/>
      </c>
      <c r="H394" s="7"/>
      <c r="I394" s="8"/>
      <c r="J394" s="12"/>
    </row>
    <row r="395" spans="1:10" x14ac:dyDescent="0.25">
      <c r="A395" s="2"/>
      <c r="B395" s="3"/>
      <c r="C395" s="4" t="str">
        <f t="shared" si="5"/>
        <v/>
      </c>
      <c r="D395" s="5"/>
      <c r="E395" s="9" t="str">
        <f t="shared" si="4"/>
        <v/>
      </c>
      <c r="F395" s="3"/>
      <c r="G395" s="6" t="str">
        <f t="shared" si="3"/>
        <v/>
      </c>
      <c r="H395" s="7"/>
      <c r="I395" s="8"/>
      <c r="J395" s="12"/>
    </row>
    <row r="396" spans="1:10" x14ac:dyDescent="0.25">
      <c r="A396" s="2"/>
      <c r="B396" s="3"/>
      <c r="C396" s="4" t="str">
        <f t="shared" si="5"/>
        <v/>
      </c>
      <c r="D396" s="5"/>
      <c r="E396" s="9" t="str">
        <f t="shared" si="4"/>
        <v/>
      </c>
      <c r="F396" s="3"/>
      <c r="G396" s="6" t="str">
        <f t="shared" si="3"/>
        <v/>
      </c>
      <c r="H396" s="7"/>
      <c r="I396" s="8"/>
      <c r="J396" s="12"/>
    </row>
    <row r="397" spans="1:10" x14ac:dyDescent="0.25">
      <c r="A397" s="2"/>
      <c r="B397" s="3"/>
      <c r="C397" s="4" t="str">
        <f t="shared" si="5"/>
        <v/>
      </c>
      <c r="D397" s="5"/>
      <c r="E397" s="9" t="str">
        <f t="shared" si="4"/>
        <v/>
      </c>
      <c r="F397" s="3"/>
      <c r="G397" s="6" t="str">
        <f t="shared" si="3"/>
        <v/>
      </c>
      <c r="H397" s="7"/>
      <c r="I397" s="8"/>
      <c r="J397" s="12"/>
    </row>
    <row r="398" spans="1:10" x14ac:dyDescent="0.25">
      <c r="A398" s="2"/>
      <c r="B398" s="3"/>
      <c r="C398" s="4" t="str">
        <f t="shared" si="5"/>
        <v/>
      </c>
      <c r="D398" s="5"/>
      <c r="E398" s="9" t="str">
        <f t="shared" si="4"/>
        <v/>
      </c>
      <c r="F398" s="3"/>
      <c r="G398" s="6" t="str">
        <f t="shared" si="3"/>
        <v/>
      </c>
      <c r="H398" s="7"/>
      <c r="I398" s="8"/>
      <c r="J398" s="12"/>
    </row>
    <row r="399" spans="1:10" x14ac:dyDescent="0.25">
      <c r="A399" s="2"/>
      <c r="B399" s="3"/>
      <c r="C399" s="4" t="str">
        <f t="shared" si="5"/>
        <v/>
      </c>
      <c r="D399" s="5"/>
      <c r="E399" s="9" t="str">
        <f t="shared" si="4"/>
        <v/>
      </c>
      <c r="F399" s="3"/>
      <c r="G399" s="6" t="str">
        <f t="shared" si="3"/>
        <v/>
      </c>
      <c r="H399" s="7"/>
      <c r="I399" s="8"/>
      <c r="J399" s="12"/>
    </row>
    <row r="400" spans="1:10" x14ac:dyDescent="0.25">
      <c r="A400" s="2"/>
      <c r="B400" s="3"/>
      <c r="C400" s="4" t="str">
        <f t="shared" si="5"/>
        <v/>
      </c>
      <c r="D400" s="5"/>
      <c r="E400" s="9" t="str">
        <f t="shared" si="4"/>
        <v/>
      </c>
      <c r="F400" s="3"/>
      <c r="G400" s="6" t="str">
        <f t="shared" si="3"/>
        <v/>
      </c>
      <c r="H400" s="7"/>
      <c r="I400" s="8"/>
      <c r="J400" s="12"/>
    </row>
    <row r="401" spans="1:10" x14ac:dyDescent="0.25">
      <c r="A401" s="2"/>
      <c r="B401" s="3"/>
      <c r="C401" s="4" t="str">
        <f t="shared" si="5"/>
        <v/>
      </c>
      <c r="D401" s="5"/>
      <c r="E401" s="9" t="str">
        <f t="shared" si="4"/>
        <v/>
      </c>
      <c r="F401" s="3"/>
      <c r="G401" s="6" t="str">
        <f t="shared" si="3"/>
        <v/>
      </c>
      <c r="H401" s="7"/>
      <c r="I401" s="8"/>
      <c r="J401" s="12"/>
    </row>
    <row r="402" spans="1:10" x14ac:dyDescent="0.25">
      <c r="A402" s="2"/>
      <c r="B402" s="3"/>
      <c r="C402" s="4" t="str">
        <f t="shared" si="5"/>
        <v/>
      </c>
      <c r="D402" s="5"/>
      <c r="E402" s="9" t="str">
        <f t="shared" si="4"/>
        <v/>
      </c>
      <c r="F402" s="3"/>
      <c r="G402" s="6" t="str">
        <f t="shared" si="3"/>
        <v/>
      </c>
      <c r="H402" s="7"/>
      <c r="I402" s="8"/>
      <c r="J402" s="12"/>
    </row>
    <row r="403" spans="1:10" x14ac:dyDescent="0.25">
      <c r="A403" s="2"/>
      <c r="B403" s="3"/>
      <c r="C403" s="4" t="str">
        <f t="shared" si="5"/>
        <v/>
      </c>
      <c r="D403" s="5"/>
      <c r="E403" s="9" t="str">
        <f t="shared" si="4"/>
        <v/>
      </c>
      <c r="F403" s="3"/>
      <c r="G403" s="6" t="str">
        <f t="shared" si="3"/>
        <v/>
      </c>
      <c r="H403" s="7"/>
      <c r="I403" s="8"/>
      <c r="J403" s="12"/>
    </row>
    <row r="404" spans="1:10" x14ac:dyDescent="0.25">
      <c r="A404" s="2"/>
      <c r="B404" s="3"/>
      <c r="C404" s="4" t="str">
        <f t="shared" si="5"/>
        <v/>
      </c>
      <c r="D404" s="5"/>
      <c r="E404" s="9" t="str">
        <f t="shared" si="4"/>
        <v/>
      </c>
      <c r="F404" s="3"/>
      <c r="G404" s="6" t="str">
        <f t="shared" si="3"/>
        <v/>
      </c>
      <c r="H404" s="7"/>
      <c r="I404" s="8"/>
      <c r="J404" s="12"/>
    </row>
    <row r="405" spans="1:10" x14ac:dyDescent="0.25">
      <c r="A405" s="2"/>
      <c r="B405" s="3"/>
      <c r="C405" s="4" t="str">
        <f t="shared" si="5"/>
        <v/>
      </c>
      <c r="D405" s="5"/>
      <c r="E405" s="9" t="str">
        <f t="shared" si="4"/>
        <v/>
      </c>
      <c r="F405" s="3"/>
      <c r="G405" s="6" t="str">
        <f t="shared" si="3"/>
        <v/>
      </c>
      <c r="H405" s="7"/>
      <c r="I405" s="8"/>
      <c r="J405" s="12"/>
    </row>
    <row r="406" spans="1:10" x14ac:dyDescent="0.25">
      <c r="A406" s="2"/>
      <c r="B406" s="3"/>
      <c r="C406" s="4" t="str">
        <f t="shared" si="5"/>
        <v/>
      </c>
      <c r="D406" s="5"/>
      <c r="E406" s="9" t="str">
        <f t="shared" si="4"/>
        <v/>
      </c>
      <c r="F406" s="3"/>
      <c r="G406" s="6" t="str">
        <f t="shared" si="3"/>
        <v/>
      </c>
      <c r="H406" s="7"/>
      <c r="I406" s="8"/>
      <c r="J406" s="12"/>
    </row>
    <row r="407" spans="1:10" x14ac:dyDescent="0.25">
      <c r="A407" s="2"/>
      <c r="B407" s="3"/>
      <c r="C407" s="4" t="str">
        <f t="shared" si="5"/>
        <v/>
      </c>
      <c r="D407" s="5"/>
      <c r="E407" s="9" t="str">
        <f t="shared" si="4"/>
        <v/>
      </c>
      <c r="F407" s="3"/>
      <c r="G407" s="6" t="str">
        <f t="shared" si="3"/>
        <v/>
      </c>
      <c r="H407" s="7"/>
      <c r="I407" s="8"/>
      <c r="J407" s="12"/>
    </row>
    <row r="408" spans="1:10" x14ac:dyDescent="0.25">
      <c r="A408" s="2"/>
      <c r="B408" s="3"/>
      <c r="C408" s="4" t="str">
        <f t="shared" si="5"/>
        <v/>
      </c>
      <c r="D408" s="5"/>
      <c r="E408" s="9" t="str">
        <f t="shared" si="4"/>
        <v/>
      </c>
      <c r="F408" s="3"/>
      <c r="G408" s="6" t="str">
        <f t="shared" si="3"/>
        <v/>
      </c>
      <c r="H408" s="7"/>
      <c r="I408" s="8"/>
      <c r="J408" s="12"/>
    </row>
    <row r="409" spans="1:10" x14ac:dyDescent="0.25">
      <c r="A409" s="2"/>
      <c r="B409" s="3"/>
      <c r="C409" s="4" t="str">
        <f t="shared" si="5"/>
        <v/>
      </c>
      <c r="D409" s="5"/>
      <c r="E409" s="9" t="str">
        <f t="shared" si="4"/>
        <v/>
      </c>
      <c r="F409" s="3"/>
      <c r="G409" s="6" t="str">
        <f t="shared" si="3"/>
        <v/>
      </c>
      <c r="H409" s="7"/>
      <c r="I409" s="8"/>
      <c r="J409" s="12"/>
    </row>
    <row r="410" spans="1:10" x14ac:dyDescent="0.25">
      <c r="A410" s="2"/>
      <c r="B410" s="3"/>
      <c r="C410" s="4" t="str">
        <f t="shared" si="5"/>
        <v/>
      </c>
      <c r="D410" s="5"/>
      <c r="E410" s="9" t="str">
        <f t="shared" si="4"/>
        <v/>
      </c>
      <c r="F410" s="3"/>
      <c r="G410" s="6" t="str">
        <f t="shared" si="3"/>
        <v/>
      </c>
      <c r="H410" s="7"/>
      <c r="I410" s="8"/>
      <c r="J410" s="12"/>
    </row>
    <row r="411" spans="1:10" x14ac:dyDescent="0.25">
      <c r="A411" s="2"/>
      <c r="B411" s="3"/>
      <c r="C411" s="4" t="str">
        <f t="shared" si="5"/>
        <v/>
      </c>
      <c r="D411" s="5"/>
      <c r="E411" s="9" t="str">
        <f t="shared" si="4"/>
        <v/>
      </c>
      <c r="F411" s="3"/>
      <c r="G411" s="6" t="str">
        <f t="shared" si="3"/>
        <v/>
      </c>
      <c r="H411" s="7"/>
      <c r="I411" s="8"/>
      <c r="J411" s="12"/>
    </row>
    <row r="412" spans="1:10" x14ac:dyDescent="0.25">
      <c r="A412" s="2"/>
      <c r="B412" s="3"/>
      <c r="C412" s="4" t="str">
        <f t="shared" si="5"/>
        <v/>
      </c>
      <c r="D412" s="5"/>
      <c r="E412" s="9" t="str">
        <f t="shared" si="4"/>
        <v/>
      </c>
      <c r="F412" s="3"/>
      <c r="G412" s="6" t="str">
        <f t="shared" si="3"/>
        <v/>
      </c>
      <c r="H412" s="7"/>
      <c r="I412" s="8"/>
      <c r="J412" s="12"/>
    </row>
    <row r="413" spans="1:10" x14ac:dyDescent="0.25">
      <c r="A413" s="2"/>
      <c r="B413" s="3"/>
      <c r="C413" s="4" t="str">
        <f t="shared" si="5"/>
        <v/>
      </c>
      <c r="D413" s="5"/>
      <c r="E413" s="9" t="str">
        <f t="shared" si="4"/>
        <v/>
      </c>
      <c r="F413" s="3"/>
      <c r="G413" s="6" t="str">
        <f t="shared" si="3"/>
        <v/>
      </c>
      <c r="H413" s="7"/>
      <c r="I413" s="8"/>
      <c r="J413" s="12"/>
    </row>
    <row r="414" spans="1:10" x14ac:dyDescent="0.25">
      <c r="A414" s="2"/>
      <c r="B414" s="3"/>
      <c r="C414" s="4" t="str">
        <f t="shared" si="5"/>
        <v/>
      </c>
      <c r="D414" s="5"/>
      <c r="E414" s="9" t="str">
        <f t="shared" si="4"/>
        <v/>
      </c>
      <c r="F414" s="3"/>
      <c r="G414" s="6" t="str">
        <f t="shared" si="3"/>
        <v/>
      </c>
      <c r="H414" s="7"/>
      <c r="I414" s="8"/>
      <c r="J414" s="12"/>
    </row>
    <row r="415" spans="1:10" x14ac:dyDescent="0.25">
      <c r="A415" s="2"/>
      <c r="B415" s="3"/>
      <c r="C415" s="4" t="str">
        <f t="shared" si="5"/>
        <v/>
      </c>
      <c r="D415" s="5"/>
      <c r="E415" s="9" t="str">
        <f t="shared" si="4"/>
        <v/>
      </c>
      <c r="F415" s="3"/>
      <c r="G415" s="6" t="str">
        <f t="shared" si="3"/>
        <v/>
      </c>
      <c r="H415" s="7"/>
      <c r="I415" s="8"/>
      <c r="J415" s="12"/>
    </row>
    <row r="416" spans="1:10" x14ac:dyDescent="0.25">
      <c r="A416" s="2"/>
      <c r="B416" s="3"/>
      <c r="C416" s="4" t="str">
        <f t="shared" si="5"/>
        <v/>
      </c>
      <c r="D416" s="5"/>
      <c r="E416" s="9" t="str">
        <f t="shared" si="4"/>
        <v/>
      </c>
      <c r="F416" s="3"/>
      <c r="G416" s="6" t="str">
        <f t="shared" si="3"/>
        <v/>
      </c>
      <c r="H416" s="7"/>
      <c r="I416" s="8"/>
      <c r="J416" s="12"/>
    </row>
    <row r="417" spans="1:10" x14ac:dyDescent="0.25">
      <c r="A417" s="2"/>
      <c r="B417" s="3"/>
      <c r="C417" s="4" t="str">
        <f t="shared" si="5"/>
        <v/>
      </c>
      <c r="D417" s="5"/>
      <c r="E417" s="9" t="str">
        <f t="shared" si="4"/>
        <v/>
      </c>
      <c r="F417" s="3"/>
      <c r="G417" s="6" t="str">
        <f t="shared" si="3"/>
        <v/>
      </c>
      <c r="H417" s="7"/>
      <c r="I417" s="8"/>
      <c r="J417" s="12"/>
    </row>
    <row r="418" spans="1:10" x14ac:dyDescent="0.25">
      <c r="A418" s="2"/>
      <c r="B418" s="3"/>
      <c r="C418" s="4" t="str">
        <f t="shared" si="5"/>
        <v/>
      </c>
      <c r="D418" s="5"/>
      <c r="E418" s="9" t="str">
        <f t="shared" si="4"/>
        <v/>
      </c>
      <c r="F418" s="3"/>
      <c r="G418" s="6" t="str">
        <f t="shared" si="3"/>
        <v/>
      </c>
      <c r="H418" s="7"/>
      <c r="I418" s="8"/>
      <c r="J418" s="12"/>
    </row>
    <row r="419" spans="1:10" x14ac:dyDescent="0.25">
      <c r="A419" s="2"/>
      <c r="B419" s="3"/>
      <c r="C419" s="4" t="str">
        <f t="shared" si="5"/>
        <v/>
      </c>
      <c r="D419" s="5"/>
      <c r="E419" s="9" t="str">
        <f t="shared" si="4"/>
        <v/>
      </c>
      <c r="F419" s="3"/>
      <c r="G419" s="6" t="str">
        <f t="shared" si="3"/>
        <v/>
      </c>
      <c r="H419" s="7"/>
      <c r="I419" s="8"/>
      <c r="J419" s="12"/>
    </row>
    <row r="420" spans="1:10" x14ac:dyDescent="0.25">
      <c r="A420" s="2"/>
      <c r="B420" s="3"/>
      <c r="C420" s="4" t="str">
        <f t="shared" si="5"/>
        <v/>
      </c>
      <c r="D420" s="5"/>
      <c r="E420" s="9" t="str">
        <f t="shared" si="4"/>
        <v/>
      </c>
      <c r="F420" s="3"/>
      <c r="G420" s="6" t="str">
        <f t="shared" si="3"/>
        <v/>
      </c>
      <c r="H420" s="7"/>
      <c r="I420" s="8"/>
      <c r="J420" s="12"/>
    </row>
    <row r="421" spans="1:10" x14ac:dyDescent="0.25">
      <c r="A421" s="2"/>
      <c r="B421" s="3"/>
      <c r="C421" s="4" t="str">
        <f t="shared" si="5"/>
        <v/>
      </c>
      <c r="D421" s="5"/>
      <c r="E421" s="9" t="str">
        <f t="shared" si="4"/>
        <v/>
      </c>
      <c r="F421" s="3"/>
      <c r="G421" s="6" t="str">
        <f t="shared" si="3"/>
        <v/>
      </c>
      <c r="H421" s="7"/>
      <c r="I421" s="8"/>
      <c r="J421" s="12"/>
    </row>
    <row r="422" spans="1:10" x14ac:dyDescent="0.25">
      <c r="A422" s="2"/>
      <c r="B422" s="3"/>
      <c r="C422" s="4" t="str">
        <f t="shared" si="5"/>
        <v/>
      </c>
      <c r="D422" s="5"/>
      <c r="E422" s="9" t="str">
        <f t="shared" si="4"/>
        <v/>
      </c>
      <c r="F422" s="3"/>
      <c r="G422" s="6" t="str">
        <f t="shared" si="3"/>
        <v/>
      </c>
      <c r="H422" s="7"/>
      <c r="I422" s="8"/>
      <c r="J422" s="12"/>
    </row>
    <row r="423" spans="1:10" x14ac:dyDescent="0.25">
      <c r="A423" s="2"/>
      <c r="B423" s="3"/>
      <c r="C423" s="4" t="str">
        <f t="shared" si="5"/>
        <v/>
      </c>
      <c r="D423" s="5"/>
      <c r="E423" s="9" t="str">
        <f t="shared" si="4"/>
        <v/>
      </c>
      <c r="F423" s="3"/>
      <c r="G423" s="6" t="str">
        <f t="shared" si="3"/>
        <v/>
      </c>
      <c r="H423" s="7"/>
      <c r="I423" s="8"/>
      <c r="J423" s="12"/>
    </row>
    <row r="424" spans="1:10" x14ac:dyDescent="0.25">
      <c r="A424" s="2"/>
      <c r="B424" s="3"/>
      <c r="C424" s="4" t="str">
        <f t="shared" si="5"/>
        <v/>
      </c>
      <c r="D424" s="5"/>
      <c r="E424" s="9" t="str">
        <f t="shared" si="4"/>
        <v/>
      </c>
      <c r="F424" s="3"/>
      <c r="G424" s="6" t="str">
        <f t="shared" si="3"/>
        <v/>
      </c>
      <c r="H424" s="7"/>
      <c r="I424" s="8"/>
      <c r="J424" s="12"/>
    </row>
    <row r="425" spans="1:10" x14ac:dyDescent="0.25">
      <c r="A425" s="2"/>
      <c r="B425" s="3"/>
      <c r="C425" s="4" t="str">
        <f t="shared" si="5"/>
        <v/>
      </c>
      <c r="D425" s="5"/>
      <c r="E425" s="9" t="str">
        <f t="shared" si="4"/>
        <v/>
      </c>
      <c r="F425" s="3"/>
      <c r="G425" s="6" t="str">
        <f t="shared" si="3"/>
        <v/>
      </c>
      <c r="H425" s="7"/>
      <c r="I425" s="8"/>
      <c r="J425" s="12"/>
    </row>
    <row r="426" spans="1:10" x14ac:dyDescent="0.25">
      <c r="A426" s="2"/>
      <c r="B426" s="3"/>
      <c r="C426" s="4" t="str">
        <f t="shared" si="5"/>
        <v/>
      </c>
      <c r="D426" s="5"/>
      <c r="E426" s="9" t="str">
        <f t="shared" si="4"/>
        <v/>
      </c>
      <c r="F426" s="3"/>
      <c r="G426" s="6" t="str">
        <f t="shared" si="3"/>
        <v/>
      </c>
      <c r="H426" s="7"/>
      <c r="I426" s="8"/>
      <c r="J426" s="12"/>
    </row>
    <row r="427" spans="1:10" x14ac:dyDescent="0.25">
      <c r="A427" s="2"/>
      <c r="B427" s="3"/>
      <c r="C427" s="4" t="str">
        <f t="shared" si="5"/>
        <v/>
      </c>
      <c r="D427" s="5"/>
      <c r="E427" s="9" t="str">
        <f t="shared" si="4"/>
        <v/>
      </c>
      <c r="F427" s="3"/>
      <c r="G427" s="6" t="str">
        <f t="shared" si="3"/>
        <v/>
      </c>
      <c r="H427" s="7"/>
      <c r="I427" s="8"/>
      <c r="J427" s="12"/>
    </row>
    <row r="428" spans="1:10" x14ac:dyDescent="0.25">
      <c r="A428" s="2"/>
      <c r="B428" s="3"/>
      <c r="C428" s="4" t="str">
        <f t="shared" si="5"/>
        <v/>
      </c>
      <c r="D428" s="5"/>
      <c r="E428" s="9" t="str">
        <f t="shared" si="4"/>
        <v/>
      </c>
      <c r="F428" s="3"/>
      <c r="G428" s="6" t="str">
        <f t="shared" si="3"/>
        <v/>
      </c>
      <c r="H428" s="7"/>
      <c r="I428" s="8"/>
      <c r="J428" s="12"/>
    </row>
    <row r="429" spans="1:10" x14ac:dyDescent="0.25">
      <c r="A429" s="2"/>
      <c r="B429" s="3"/>
      <c r="C429" s="4" t="str">
        <f t="shared" si="5"/>
        <v/>
      </c>
      <c r="D429" s="5"/>
      <c r="E429" s="9" t="str">
        <f t="shared" si="4"/>
        <v/>
      </c>
      <c r="F429" s="3"/>
      <c r="G429" s="6" t="str">
        <f t="shared" si="3"/>
        <v/>
      </c>
      <c r="H429" s="7"/>
      <c r="I429" s="8"/>
      <c r="J429" s="12"/>
    </row>
    <row r="430" spans="1:10" x14ac:dyDescent="0.25">
      <c r="A430" s="2"/>
      <c r="B430" s="3"/>
      <c r="C430" s="4" t="str">
        <f t="shared" si="5"/>
        <v/>
      </c>
      <c r="D430" s="5"/>
      <c r="E430" s="9" t="str">
        <f t="shared" si="4"/>
        <v/>
      </c>
      <c r="F430" s="3"/>
      <c r="G430" s="6" t="str">
        <f t="shared" si="3"/>
        <v/>
      </c>
      <c r="H430" s="7"/>
      <c r="I430" s="8"/>
      <c r="J430" s="12"/>
    </row>
    <row r="431" spans="1:10" x14ac:dyDescent="0.25">
      <c r="A431" s="2"/>
      <c r="B431" s="3"/>
      <c r="C431" s="4" t="str">
        <f t="shared" si="5"/>
        <v/>
      </c>
      <c r="D431" s="5"/>
      <c r="E431" s="9" t="str">
        <f t="shared" si="4"/>
        <v/>
      </c>
      <c r="F431" s="3"/>
      <c r="G431" s="6" t="str">
        <f t="shared" si="3"/>
        <v/>
      </c>
      <c r="H431" s="7"/>
      <c r="I431" s="8"/>
      <c r="J431" s="12"/>
    </row>
    <row r="432" spans="1:10" x14ac:dyDescent="0.25">
      <c r="A432" s="2"/>
      <c r="B432" s="3"/>
      <c r="C432" s="4" t="str">
        <f t="shared" si="5"/>
        <v/>
      </c>
      <c r="D432" s="5"/>
      <c r="E432" s="9" t="str">
        <f t="shared" si="4"/>
        <v/>
      </c>
      <c r="F432" s="3"/>
      <c r="G432" s="6" t="str">
        <f t="shared" si="3"/>
        <v/>
      </c>
      <c r="H432" s="7"/>
      <c r="I432" s="8"/>
      <c r="J432" s="12"/>
    </row>
    <row r="433" spans="1:10" x14ac:dyDescent="0.25">
      <c r="A433" s="2"/>
      <c r="B433" s="3"/>
      <c r="C433" s="4" t="str">
        <f t="shared" si="5"/>
        <v/>
      </c>
      <c r="D433" s="5"/>
      <c r="E433" s="9" t="str">
        <f t="shared" si="4"/>
        <v/>
      </c>
      <c r="F433" s="3"/>
      <c r="G433" s="6" t="str">
        <f t="shared" si="3"/>
        <v/>
      </c>
      <c r="H433" s="7"/>
      <c r="I433" s="8"/>
      <c r="J433" s="12"/>
    </row>
    <row r="434" spans="1:10" x14ac:dyDescent="0.25">
      <c r="A434" s="2"/>
      <c r="B434" s="3"/>
      <c r="C434" s="4" t="str">
        <f t="shared" si="5"/>
        <v/>
      </c>
      <c r="D434" s="5"/>
      <c r="E434" s="9" t="str">
        <f t="shared" si="4"/>
        <v/>
      </c>
      <c r="F434" s="3"/>
      <c r="G434" s="6" t="str">
        <f t="shared" si="3"/>
        <v/>
      </c>
      <c r="H434" s="7"/>
      <c r="I434" s="8"/>
      <c r="J434" s="12"/>
    </row>
    <row r="435" spans="1:10" x14ac:dyDescent="0.25">
      <c r="A435" s="2"/>
      <c r="B435" s="3"/>
      <c r="C435" s="4" t="str">
        <f t="shared" si="5"/>
        <v/>
      </c>
      <c r="D435" s="5"/>
      <c r="E435" s="9" t="str">
        <f t="shared" si="4"/>
        <v/>
      </c>
      <c r="F435" s="3"/>
      <c r="G435" s="6" t="str">
        <f t="shared" si="3"/>
        <v/>
      </c>
      <c r="H435" s="7"/>
      <c r="I435" s="8"/>
      <c r="J435" s="12"/>
    </row>
    <row r="436" spans="1:10" x14ac:dyDescent="0.25">
      <c r="A436" s="2"/>
      <c r="B436" s="3"/>
      <c r="C436" s="4" t="str">
        <f t="shared" si="5"/>
        <v/>
      </c>
      <c r="D436" s="5"/>
      <c r="E436" s="9" t="str">
        <f t="shared" si="4"/>
        <v/>
      </c>
      <c r="F436" s="3"/>
      <c r="G436" s="6" t="str">
        <f t="shared" si="3"/>
        <v/>
      </c>
      <c r="H436" s="7"/>
      <c r="I436" s="8"/>
      <c r="J436" s="12"/>
    </row>
    <row r="437" spans="1:10" x14ac:dyDescent="0.25">
      <c r="A437" s="2"/>
      <c r="B437" s="3"/>
      <c r="C437" s="4" t="str">
        <f t="shared" si="5"/>
        <v/>
      </c>
      <c r="D437" s="5"/>
      <c r="E437" s="9" t="str">
        <f t="shared" si="4"/>
        <v/>
      </c>
      <c r="F437" s="3"/>
      <c r="G437" s="6" t="str">
        <f t="shared" si="3"/>
        <v/>
      </c>
      <c r="H437" s="7"/>
      <c r="I437" s="8"/>
      <c r="J437" s="12"/>
    </row>
    <row r="438" spans="1:10" x14ac:dyDescent="0.25">
      <c r="A438" s="2"/>
      <c r="B438" s="3"/>
      <c r="C438" s="4" t="str">
        <f t="shared" si="5"/>
        <v/>
      </c>
      <c r="D438" s="5"/>
      <c r="E438" s="9" t="str">
        <f t="shared" si="4"/>
        <v/>
      </c>
      <c r="F438" s="3"/>
      <c r="G438" s="6" t="str">
        <f t="shared" si="3"/>
        <v/>
      </c>
      <c r="H438" s="7"/>
      <c r="I438" s="8"/>
      <c r="J438" s="12"/>
    </row>
    <row r="439" spans="1:10" x14ac:dyDescent="0.25">
      <c r="A439" s="2"/>
      <c r="B439" s="3"/>
      <c r="C439" s="4" t="str">
        <f t="shared" si="5"/>
        <v/>
      </c>
      <c r="D439" s="5"/>
      <c r="E439" s="9" t="str">
        <f t="shared" si="4"/>
        <v/>
      </c>
      <c r="F439" s="3"/>
      <c r="G439" s="6" t="str">
        <f t="shared" si="3"/>
        <v/>
      </c>
      <c r="H439" s="7"/>
      <c r="I439" s="8"/>
      <c r="J439" s="12"/>
    </row>
    <row r="440" spans="1:10" x14ac:dyDescent="0.25">
      <c r="A440" s="2"/>
      <c r="B440" s="3"/>
      <c r="C440" s="4" t="str">
        <f t="shared" si="5"/>
        <v/>
      </c>
      <c r="D440" s="5"/>
      <c r="E440" s="9" t="str">
        <f t="shared" si="4"/>
        <v/>
      </c>
      <c r="F440" s="3"/>
      <c r="G440" s="6" t="str">
        <f t="shared" si="3"/>
        <v/>
      </c>
      <c r="H440" s="7"/>
      <c r="I440" s="8"/>
      <c r="J440" s="12"/>
    </row>
    <row r="441" spans="1:10" x14ac:dyDescent="0.25">
      <c r="A441" s="2"/>
      <c r="B441" s="3"/>
      <c r="C441" s="4" t="str">
        <f t="shared" si="5"/>
        <v/>
      </c>
      <c r="D441" s="5"/>
      <c r="E441" s="9" t="str">
        <f t="shared" si="4"/>
        <v/>
      </c>
      <c r="F441" s="3"/>
      <c r="G441" s="6" t="str">
        <f t="shared" si="3"/>
        <v/>
      </c>
      <c r="H441" s="7"/>
      <c r="I441" s="8"/>
      <c r="J441" s="12"/>
    </row>
    <row r="442" spans="1:10" x14ac:dyDescent="0.25">
      <c r="A442" s="2"/>
      <c r="B442" s="3"/>
      <c r="C442" s="4" t="str">
        <f t="shared" si="5"/>
        <v/>
      </c>
      <c r="D442" s="5"/>
      <c r="E442" s="9" t="str">
        <f t="shared" si="4"/>
        <v/>
      </c>
      <c r="F442" s="3"/>
      <c r="G442" s="6" t="str">
        <f t="shared" si="3"/>
        <v/>
      </c>
      <c r="H442" s="7"/>
      <c r="I442" s="8"/>
      <c r="J442" s="12"/>
    </row>
    <row r="443" spans="1:10" x14ac:dyDescent="0.25">
      <c r="A443" s="2"/>
      <c r="B443" s="3"/>
      <c r="C443" s="4" t="str">
        <f t="shared" si="5"/>
        <v/>
      </c>
      <c r="D443" s="5"/>
      <c r="E443" s="9" t="str">
        <f t="shared" si="4"/>
        <v/>
      </c>
      <c r="F443" s="3"/>
      <c r="G443" s="6" t="str">
        <f t="shared" si="3"/>
        <v/>
      </c>
      <c r="H443" s="7"/>
      <c r="I443" s="8"/>
      <c r="J443" s="12"/>
    </row>
    <row r="444" spans="1:10" x14ac:dyDescent="0.25">
      <c r="A444" s="2"/>
      <c r="B444" s="3"/>
      <c r="C444" s="4" t="str">
        <f t="shared" si="5"/>
        <v/>
      </c>
      <c r="D444" s="5"/>
      <c r="E444" s="9" t="str">
        <f t="shared" si="4"/>
        <v/>
      </c>
      <c r="F444" s="3"/>
      <c r="G444" s="6" t="str">
        <f t="shared" si="3"/>
        <v/>
      </c>
      <c r="H444" s="7"/>
      <c r="I444" s="8"/>
      <c r="J444" s="12"/>
    </row>
    <row r="445" spans="1:10" x14ac:dyDescent="0.25">
      <c r="A445" s="2"/>
      <c r="B445" s="3"/>
      <c r="C445" s="4" t="str">
        <f t="shared" si="5"/>
        <v/>
      </c>
      <c r="D445" s="5"/>
      <c r="E445" s="9" t="str">
        <f t="shared" si="4"/>
        <v/>
      </c>
      <c r="F445" s="3"/>
      <c r="G445" s="6" t="str">
        <f t="shared" si="3"/>
        <v/>
      </c>
      <c r="H445" s="7"/>
      <c r="I445" s="8"/>
      <c r="J445" s="12"/>
    </row>
    <row r="446" spans="1:10" x14ac:dyDescent="0.25">
      <c r="A446" s="2"/>
      <c r="B446" s="3"/>
      <c r="C446" s="4" t="str">
        <f t="shared" si="5"/>
        <v/>
      </c>
      <c r="D446" s="5"/>
      <c r="E446" s="9" t="str">
        <f t="shared" si="4"/>
        <v/>
      </c>
      <c r="F446" s="3"/>
      <c r="G446" s="6" t="str">
        <f t="shared" si="3"/>
        <v/>
      </c>
      <c r="H446" s="7"/>
      <c r="I446" s="8"/>
      <c r="J446" s="12"/>
    </row>
    <row r="447" spans="1:10" x14ac:dyDescent="0.25">
      <c r="A447" s="2"/>
      <c r="B447" s="3"/>
      <c r="C447" s="4" t="str">
        <f t="shared" si="5"/>
        <v/>
      </c>
      <c r="D447" s="5"/>
      <c r="E447" s="9" t="str">
        <f t="shared" si="4"/>
        <v/>
      </c>
      <c r="F447" s="3"/>
      <c r="G447" s="6" t="str">
        <f t="shared" si="3"/>
        <v/>
      </c>
      <c r="H447" s="7"/>
      <c r="I447" s="8"/>
      <c r="J447" s="12"/>
    </row>
    <row r="448" spans="1:10" x14ac:dyDescent="0.25">
      <c r="A448" s="2"/>
      <c r="B448" s="3"/>
      <c r="C448" s="4" t="str">
        <f t="shared" si="5"/>
        <v/>
      </c>
      <c r="D448" s="5"/>
      <c r="E448" s="9" t="str">
        <f t="shared" si="4"/>
        <v/>
      </c>
      <c r="F448" s="3"/>
      <c r="G448" s="6" t="str">
        <f t="shared" si="3"/>
        <v/>
      </c>
      <c r="H448" s="7"/>
      <c r="I448" s="8"/>
      <c r="J448" s="12"/>
    </row>
    <row r="449" spans="1:10" x14ac:dyDescent="0.25">
      <c r="A449" s="2"/>
      <c r="B449" s="3"/>
      <c r="C449" s="4" t="str">
        <f t="shared" si="5"/>
        <v/>
      </c>
      <c r="D449" s="5"/>
      <c r="E449" s="9" t="str">
        <f t="shared" si="4"/>
        <v/>
      </c>
      <c r="F449" s="3"/>
      <c r="G449" s="6" t="str">
        <f t="shared" si="3"/>
        <v/>
      </c>
      <c r="H449" s="7"/>
      <c r="I449" s="8"/>
      <c r="J449" s="12"/>
    </row>
    <row r="450" spans="1:10" x14ac:dyDescent="0.25">
      <c r="A450" s="2"/>
      <c r="B450" s="3"/>
      <c r="C450" s="4" t="str">
        <f t="shared" si="5"/>
        <v/>
      </c>
      <c r="D450" s="5"/>
      <c r="E450" s="9" t="str">
        <f t="shared" si="4"/>
        <v/>
      </c>
      <c r="F450" s="3"/>
      <c r="G450" s="6" t="str">
        <f t="shared" si="3"/>
        <v/>
      </c>
      <c r="H450" s="7"/>
      <c r="I450" s="8"/>
      <c r="J450" s="12"/>
    </row>
    <row r="451" spans="1:10" x14ac:dyDescent="0.25">
      <c r="A451" s="2"/>
      <c r="B451" s="3"/>
      <c r="C451" s="4" t="str">
        <f t="shared" si="5"/>
        <v/>
      </c>
      <c r="D451" s="5"/>
      <c r="E451" s="9" t="str">
        <f t="shared" si="4"/>
        <v/>
      </c>
      <c r="F451" s="3"/>
      <c r="G451" s="6" t="str">
        <f t="shared" si="3"/>
        <v/>
      </c>
      <c r="H451" s="7"/>
      <c r="I451" s="8"/>
      <c r="J451" s="12"/>
    </row>
    <row r="452" spans="1:10" x14ac:dyDescent="0.25">
      <c r="A452" s="2"/>
      <c r="B452" s="3"/>
      <c r="C452" s="4" t="str">
        <f t="shared" si="5"/>
        <v/>
      </c>
      <c r="D452" s="5"/>
      <c r="E452" s="9" t="str">
        <f t="shared" si="4"/>
        <v/>
      </c>
      <c r="F452" s="3"/>
      <c r="G452" s="6" t="str">
        <f t="shared" ref="G452:G515" si="6">IF(A452="","",HYPERLINK(N452,S452))</f>
        <v/>
      </c>
      <c r="H452" s="7"/>
      <c r="I452" s="8"/>
      <c r="J452" s="12"/>
    </row>
    <row r="453" spans="1:10" x14ac:dyDescent="0.25">
      <c r="A453" s="2"/>
      <c r="B453" s="3"/>
      <c r="C453" s="4" t="str">
        <f t="shared" si="5"/>
        <v/>
      </c>
      <c r="D453" s="5"/>
      <c r="E453" s="9" t="str">
        <f t="shared" ref="E453:E516" si="7">IF(A453="","",IF(T453="",M453,HYPERLINK(X453,M453)))</f>
        <v/>
      </c>
      <c r="F453" s="3"/>
      <c r="G453" s="6" t="str">
        <f t="shared" si="6"/>
        <v/>
      </c>
      <c r="H453" s="7"/>
      <c r="I453" s="8"/>
      <c r="J453" s="12"/>
    </row>
    <row r="454" spans="1:10" x14ac:dyDescent="0.25">
      <c r="A454" s="2"/>
      <c r="B454" s="3"/>
      <c r="C454" s="4" t="str">
        <f t="shared" ref="C454:C517" si="8">IF(A454="","",HYPERLINK(W454,O454))</f>
        <v/>
      </c>
      <c r="D454" s="5"/>
      <c r="E454" s="9" t="str">
        <f t="shared" si="7"/>
        <v/>
      </c>
      <c r="F454" s="3"/>
      <c r="G454" s="6" t="str">
        <f t="shared" si="6"/>
        <v/>
      </c>
      <c r="H454" s="7"/>
      <c r="I454" s="8"/>
      <c r="J454" s="12"/>
    </row>
    <row r="455" spans="1:10" x14ac:dyDescent="0.25">
      <c r="A455" s="2"/>
      <c r="B455" s="3"/>
      <c r="C455" s="4" t="str">
        <f t="shared" si="8"/>
        <v/>
      </c>
      <c r="D455" s="5"/>
      <c r="E455" s="9" t="str">
        <f t="shared" si="7"/>
        <v/>
      </c>
      <c r="F455" s="3"/>
      <c r="G455" s="6" t="str">
        <f t="shared" si="6"/>
        <v/>
      </c>
      <c r="H455" s="7"/>
      <c r="I455" s="8"/>
      <c r="J455" s="12"/>
    </row>
    <row r="456" spans="1:10" x14ac:dyDescent="0.25">
      <c r="A456" s="2"/>
      <c r="B456" s="3"/>
      <c r="C456" s="4" t="str">
        <f t="shared" si="8"/>
        <v/>
      </c>
      <c r="D456" s="5"/>
      <c r="E456" s="9" t="str">
        <f t="shared" si="7"/>
        <v/>
      </c>
      <c r="F456" s="3"/>
      <c r="G456" s="6" t="str">
        <f t="shared" si="6"/>
        <v/>
      </c>
      <c r="H456" s="7"/>
      <c r="I456" s="8"/>
      <c r="J456" s="12"/>
    </row>
    <row r="457" spans="1:10" x14ac:dyDescent="0.25">
      <c r="A457" s="2"/>
      <c r="B457" s="3"/>
      <c r="C457" s="4" t="str">
        <f t="shared" si="8"/>
        <v/>
      </c>
      <c r="D457" s="5"/>
      <c r="E457" s="9" t="str">
        <f t="shared" si="7"/>
        <v/>
      </c>
      <c r="F457" s="3"/>
      <c r="G457" s="6" t="str">
        <f t="shared" si="6"/>
        <v/>
      </c>
      <c r="H457" s="7"/>
      <c r="I457" s="8"/>
      <c r="J457" s="12"/>
    </row>
    <row r="458" spans="1:10" x14ac:dyDescent="0.25">
      <c r="A458" s="2"/>
      <c r="B458" s="3"/>
      <c r="C458" s="4" t="str">
        <f t="shared" si="8"/>
        <v/>
      </c>
      <c r="D458" s="5"/>
      <c r="E458" s="9" t="str">
        <f t="shared" si="7"/>
        <v/>
      </c>
      <c r="F458" s="3"/>
      <c r="G458" s="6" t="str">
        <f t="shared" si="6"/>
        <v/>
      </c>
      <c r="H458" s="7"/>
      <c r="I458" s="8"/>
      <c r="J458" s="12"/>
    </row>
    <row r="459" spans="1:10" x14ac:dyDescent="0.25">
      <c r="A459" s="2"/>
      <c r="B459" s="3"/>
      <c r="C459" s="4" t="str">
        <f t="shared" si="8"/>
        <v/>
      </c>
      <c r="D459" s="5"/>
      <c r="E459" s="9" t="str">
        <f t="shared" si="7"/>
        <v/>
      </c>
      <c r="F459" s="3"/>
      <c r="G459" s="6" t="str">
        <f t="shared" si="6"/>
        <v/>
      </c>
      <c r="H459" s="7"/>
      <c r="I459" s="8"/>
      <c r="J459" s="12"/>
    </row>
    <row r="460" spans="1:10" x14ac:dyDescent="0.25">
      <c r="A460" s="2"/>
      <c r="B460" s="3"/>
      <c r="C460" s="4" t="str">
        <f t="shared" si="8"/>
        <v/>
      </c>
      <c r="D460" s="5"/>
      <c r="E460" s="9" t="str">
        <f t="shared" si="7"/>
        <v/>
      </c>
      <c r="F460" s="3"/>
      <c r="G460" s="6" t="str">
        <f t="shared" si="6"/>
        <v/>
      </c>
      <c r="H460" s="7"/>
      <c r="I460" s="8"/>
      <c r="J460" s="12"/>
    </row>
    <row r="461" spans="1:10" x14ac:dyDescent="0.25">
      <c r="A461" s="2"/>
      <c r="B461" s="3"/>
      <c r="C461" s="4" t="str">
        <f t="shared" si="8"/>
        <v/>
      </c>
      <c r="D461" s="5"/>
      <c r="E461" s="9" t="str">
        <f t="shared" si="7"/>
        <v/>
      </c>
      <c r="F461" s="3"/>
      <c r="G461" s="6" t="str">
        <f t="shared" si="6"/>
        <v/>
      </c>
      <c r="H461" s="7"/>
      <c r="I461" s="8"/>
      <c r="J461" s="12"/>
    </row>
    <row r="462" spans="1:10" x14ac:dyDescent="0.25">
      <c r="A462" s="2"/>
      <c r="B462" s="3"/>
      <c r="C462" s="4" t="str">
        <f t="shared" si="8"/>
        <v/>
      </c>
      <c r="D462" s="5"/>
      <c r="E462" s="9" t="str">
        <f t="shared" si="7"/>
        <v/>
      </c>
      <c r="F462" s="3"/>
      <c r="G462" s="6" t="str">
        <f t="shared" si="6"/>
        <v/>
      </c>
      <c r="H462" s="7"/>
      <c r="I462" s="8"/>
      <c r="J462" s="12"/>
    </row>
    <row r="463" spans="1:10" x14ac:dyDescent="0.25">
      <c r="A463" s="2"/>
      <c r="B463" s="3"/>
      <c r="C463" s="4" t="str">
        <f t="shared" si="8"/>
        <v/>
      </c>
      <c r="D463" s="5"/>
      <c r="E463" s="9" t="str">
        <f t="shared" si="7"/>
        <v/>
      </c>
      <c r="F463" s="3"/>
      <c r="G463" s="6" t="str">
        <f t="shared" si="6"/>
        <v/>
      </c>
      <c r="H463" s="7"/>
      <c r="I463" s="8"/>
      <c r="J463" s="12"/>
    </row>
    <row r="464" spans="1:10" x14ac:dyDescent="0.25">
      <c r="A464" s="2"/>
      <c r="B464" s="3"/>
      <c r="C464" s="4" t="str">
        <f t="shared" si="8"/>
        <v/>
      </c>
      <c r="D464" s="5"/>
      <c r="E464" s="9" t="str">
        <f t="shared" si="7"/>
        <v/>
      </c>
      <c r="F464" s="3"/>
      <c r="G464" s="6" t="str">
        <f t="shared" si="6"/>
        <v/>
      </c>
      <c r="H464" s="7"/>
      <c r="I464" s="8"/>
      <c r="J464" s="12"/>
    </row>
    <row r="465" spans="1:10" x14ac:dyDescent="0.25">
      <c r="A465" s="2"/>
      <c r="B465" s="3"/>
      <c r="C465" s="4" t="str">
        <f t="shared" si="8"/>
        <v/>
      </c>
      <c r="D465" s="5"/>
      <c r="E465" s="9" t="str">
        <f t="shared" si="7"/>
        <v/>
      </c>
      <c r="F465" s="3"/>
      <c r="G465" s="6" t="str">
        <f t="shared" si="6"/>
        <v/>
      </c>
      <c r="H465" s="7"/>
      <c r="I465" s="8"/>
      <c r="J465" s="12"/>
    </row>
    <row r="466" spans="1:10" x14ac:dyDescent="0.25">
      <c r="A466" s="2"/>
      <c r="B466" s="3"/>
      <c r="C466" s="4" t="str">
        <f t="shared" si="8"/>
        <v/>
      </c>
      <c r="D466" s="5"/>
      <c r="E466" s="9" t="str">
        <f t="shared" si="7"/>
        <v/>
      </c>
      <c r="F466" s="3"/>
      <c r="G466" s="6" t="str">
        <f t="shared" si="6"/>
        <v/>
      </c>
      <c r="H466" s="7"/>
      <c r="I466" s="8"/>
      <c r="J466" s="12"/>
    </row>
    <row r="467" spans="1:10" x14ac:dyDescent="0.25">
      <c r="A467" s="2"/>
      <c r="B467" s="3"/>
      <c r="C467" s="4" t="str">
        <f t="shared" si="8"/>
        <v/>
      </c>
      <c r="D467" s="5"/>
      <c r="E467" s="9" t="str">
        <f t="shared" si="7"/>
        <v/>
      </c>
      <c r="F467" s="3"/>
      <c r="G467" s="6" t="str">
        <f t="shared" si="6"/>
        <v/>
      </c>
      <c r="H467" s="7"/>
      <c r="I467" s="8"/>
      <c r="J467" s="12"/>
    </row>
    <row r="468" spans="1:10" x14ac:dyDescent="0.25">
      <c r="A468" s="2"/>
      <c r="B468" s="3"/>
      <c r="C468" s="4" t="str">
        <f t="shared" si="8"/>
        <v/>
      </c>
      <c r="D468" s="5"/>
      <c r="E468" s="9" t="str">
        <f t="shared" si="7"/>
        <v/>
      </c>
      <c r="F468" s="3"/>
      <c r="G468" s="6" t="str">
        <f t="shared" si="6"/>
        <v/>
      </c>
      <c r="H468" s="7"/>
      <c r="I468" s="8"/>
      <c r="J468" s="12"/>
    </row>
    <row r="469" spans="1:10" x14ac:dyDescent="0.25">
      <c r="A469" s="2"/>
      <c r="B469" s="3"/>
      <c r="C469" s="4" t="str">
        <f t="shared" si="8"/>
        <v/>
      </c>
      <c r="D469" s="5"/>
      <c r="E469" s="9" t="str">
        <f t="shared" si="7"/>
        <v/>
      </c>
      <c r="F469" s="3"/>
      <c r="G469" s="6" t="str">
        <f t="shared" si="6"/>
        <v/>
      </c>
      <c r="H469" s="7"/>
      <c r="I469" s="8"/>
      <c r="J469" s="12"/>
    </row>
    <row r="470" spans="1:10" x14ac:dyDescent="0.25">
      <c r="A470" s="2"/>
      <c r="B470" s="3"/>
      <c r="C470" s="4" t="str">
        <f t="shared" si="8"/>
        <v/>
      </c>
      <c r="D470" s="5"/>
      <c r="E470" s="9" t="str">
        <f t="shared" si="7"/>
        <v/>
      </c>
      <c r="F470" s="3"/>
      <c r="G470" s="6" t="str">
        <f t="shared" si="6"/>
        <v/>
      </c>
      <c r="H470" s="7"/>
      <c r="I470" s="8"/>
      <c r="J470" s="12"/>
    </row>
    <row r="471" spans="1:10" x14ac:dyDescent="0.25">
      <c r="A471" s="2"/>
      <c r="B471" s="3"/>
      <c r="C471" s="4" t="str">
        <f t="shared" si="8"/>
        <v/>
      </c>
      <c r="D471" s="5"/>
      <c r="E471" s="9" t="str">
        <f t="shared" si="7"/>
        <v/>
      </c>
      <c r="F471" s="3"/>
      <c r="G471" s="6" t="str">
        <f t="shared" si="6"/>
        <v/>
      </c>
      <c r="H471" s="7"/>
      <c r="I471" s="8"/>
      <c r="J471" s="12"/>
    </row>
    <row r="472" spans="1:10" x14ac:dyDescent="0.25">
      <c r="A472" s="2"/>
      <c r="B472" s="3"/>
      <c r="C472" s="4" t="str">
        <f t="shared" si="8"/>
        <v/>
      </c>
      <c r="D472" s="5"/>
      <c r="E472" s="9" t="str">
        <f t="shared" si="7"/>
        <v/>
      </c>
      <c r="F472" s="3"/>
      <c r="G472" s="6" t="str">
        <f t="shared" si="6"/>
        <v/>
      </c>
      <c r="H472" s="7"/>
      <c r="I472" s="8"/>
      <c r="J472" s="12"/>
    </row>
    <row r="473" spans="1:10" x14ac:dyDescent="0.25">
      <c r="A473" s="2"/>
      <c r="B473" s="3"/>
      <c r="C473" s="4" t="str">
        <f t="shared" si="8"/>
        <v/>
      </c>
      <c r="D473" s="5"/>
      <c r="E473" s="9" t="str">
        <f t="shared" si="7"/>
        <v/>
      </c>
      <c r="F473" s="3"/>
      <c r="G473" s="6" t="str">
        <f t="shared" si="6"/>
        <v/>
      </c>
      <c r="H473" s="7"/>
      <c r="I473" s="8"/>
      <c r="J473" s="12"/>
    </row>
    <row r="474" spans="1:10" x14ac:dyDescent="0.25">
      <c r="A474" s="2"/>
      <c r="B474" s="3"/>
      <c r="C474" s="4" t="str">
        <f t="shared" si="8"/>
        <v/>
      </c>
      <c r="D474" s="5"/>
      <c r="E474" s="9" t="str">
        <f t="shared" si="7"/>
        <v/>
      </c>
      <c r="F474" s="3"/>
      <c r="G474" s="6" t="str">
        <f t="shared" si="6"/>
        <v/>
      </c>
      <c r="H474" s="7"/>
      <c r="I474" s="8"/>
      <c r="J474" s="12"/>
    </row>
    <row r="475" spans="1:10" x14ac:dyDescent="0.25">
      <c r="A475" s="2"/>
      <c r="B475" s="3"/>
      <c r="C475" s="4" t="str">
        <f t="shared" si="8"/>
        <v/>
      </c>
      <c r="D475" s="5"/>
      <c r="E475" s="9" t="str">
        <f t="shared" si="7"/>
        <v/>
      </c>
      <c r="F475" s="3"/>
      <c r="G475" s="6" t="str">
        <f t="shared" si="6"/>
        <v/>
      </c>
      <c r="H475" s="7"/>
      <c r="I475" s="8"/>
      <c r="J475" s="12"/>
    </row>
    <row r="476" spans="1:10" x14ac:dyDescent="0.25">
      <c r="A476" s="2"/>
      <c r="B476" s="3"/>
      <c r="C476" s="4" t="str">
        <f t="shared" si="8"/>
        <v/>
      </c>
      <c r="D476" s="5"/>
      <c r="E476" s="9" t="str">
        <f t="shared" si="7"/>
        <v/>
      </c>
      <c r="F476" s="3"/>
      <c r="G476" s="6" t="str">
        <f t="shared" si="6"/>
        <v/>
      </c>
      <c r="H476" s="7"/>
      <c r="I476" s="8"/>
      <c r="J476" s="12"/>
    </row>
    <row r="477" spans="1:10" x14ac:dyDescent="0.25">
      <c r="A477" s="2"/>
      <c r="B477" s="3"/>
      <c r="C477" s="4" t="str">
        <f t="shared" si="8"/>
        <v/>
      </c>
      <c r="D477" s="5"/>
      <c r="E477" s="9" t="str">
        <f t="shared" si="7"/>
        <v/>
      </c>
      <c r="F477" s="3"/>
      <c r="G477" s="6" t="str">
        <f t="shared" si="6"/>
        <v/>
      </c>
      <c r="H477" s="7"/>
      <c r="I477" s="8"/>
      <c r="J477" s="12"/>
    </row>
    <row r="478" spans="1:10" x14ac:dyDescent="0.25">
      <c r="A478" s="2"/>
      <c r="B478" s="3"/>
      <c r="C478" s="4" t="str">
        <f t="shared" si="8"/>
        <v/>
      </c>
      <c r="D478" s="5"/>
      <c r="E478" s="9" t="str">
        <f t="shared" si="7"/>
        <v/>
      </c>
      <c r="F478" s="3"/>
      <c r="G478" s="6" t="str">
        <f t="shared" si="6"/>
        <v/>
      </c>
      <c r="H478" s="7"/>
      <c r="I478" s="8"/>
      <c r="J478" s="12"/>
    </row>
    <row r="479" spans="1:10" x14ac:dyDescent="0.25">
      <c r="A479" s="2"/>
      <c r="B479" s="3"/>
      <c r="C479" s="4" t="str">
        <f t="shared" si="8"/>
        <v/>
      </c>
      <c r="D479" s="5"/>
      <c r="E479" s="9" t="str">
        <f t="shared" si="7"/>
        <v/>
      </c>
      <c r="F479" s="3"/>
      <c r="G479" s="6" t="str">
        <f t="shared" si="6"/>
        <v/>
      </c>
      <c r="H479" s="7"/>
      <c r="I479" s="8"/>
      <c r="J479" s="12"/>
    </row>
    <row r="480" spans="1:10" x14ac:dyDescent="0.25">
      <c r="A480" s="2"/>
      <c r="B480" s="3"/>
      <c r="C480" s="4" t="str">
        <f t="shared" si="8"/>
        <v/>
      </c>
      <c r="D480" s="5"/>
      <c r="E480" s="9" t="str">
        <f t="shared" si="7"/>
        <v/>
      </c>
      <c r="F480" s="3"/>
      <c r="G480" s="6" t="str">
        <f t="shared" si="6"/>
        <v/>
      </c>
      <c r="H480" s="7"/>
      <c r="I480" s="8"/>
      <c r="J480" s="12"/>
    </row>
    <row r="481" spans="1:10" x14ac:dyDescent="0.25">
      <c r="A481" s="2"/>
      <c r="B481" s="3"/>
      <c r="C481" s="4" t="str">
        <f t="shared" si="8"/>
        <v/>
      </c>
      <c r="D481" s="5"/>
      <c r="E481" s="9" t="str">
        <f t="shared" si="7"/>
        <v/>
      </c>
      <c r="F481" s="3"/>
      <c r="G481" s="6" t="str">
        <f t="shared" si="6"/>
        <v/>
      </c>
      <c r="H481" s="7"/>
      <c r="I481" s="8"/>
      <c r="J481" s="12"/>
    </row>
    <row r="482" spans="1:10" x14ac:dyDescent="0.25">
      <c r="A482" s="2"/>
      <c r="B482" s="3"/>
      <c r="C482" s="4" t="str">
        <f t="shared" si="8"/>
        <v/>
      </c>
      <c r="D482" s="5"/>
      <c r="E482" s="9" t="str">
        <f t="shared" si="7"/>
        <v/>
      </c>
      <c r="F482" s="3"/>
      <c r="G482" s="6" t="str">
        <f t="shared" si="6"/>
        <v/>
      </c>
      <c r="H482" s="7"/>
      <c r="I482" s="8"/>
      <c r="J482" s="12"/>
    </row>
    <row r="483" spans="1:10" x14ac:dyDescent="0.25">
      <c r="A483" s="2"/>
      <c r="B483" s="3"/>
      <c r="C483" s="4" t="str">
        <f t="shared" si="8"/>
        <v/>
      </c>
      <c r="D483" s="5"/>
      <c r="E483" s="9" t="str">
        <f t="shared" si="7"/>
        <v/>
      </c>
      <c r="F483" s="3"/>
      <c r="G483" s="6" t="str">
        <f t="shared" si="6"/>
        <v/>
      </c>
      <c r="H483" s="7"/>
      <c r="I483" s="8"/>
      <c r="J483" s="12"/>
    </row>
    <row r="484" spans="1:10" x14ac:dyDescent="0.25">
      <c r="A484" s="2"/>
      <c r="B484" s="3"/>
      <c r="C484" s="4" t="str">
        <f t="shared" si="8"/>
        <v/>
      </c>
      <c r="D484" s="5"/>
      <c r="E484" s="9" t="str">
        <f t="shared" si="7"/>
        <v/>
      </c>
      <c r="F484" s="3"/>
      <c r="G484" s="6" t="str">
        <f t="shared" si="6"/>
        <v/>
      </c>
      <c r="H484" s="7"/>
      <c r="I484" s="8"/>
      <c r="J484" s="12"/>
    </row>
    <row r="485" spans="1:10" x14ac:dyDescent="0.25">
      <c r="A485" s="2"/>
      <c r="B485" s="3"/>
      <c r="C485" s="4" t="str">
        <f t="shared" si="8"/>
        <v/>
      </c>
      <c r="D485" s="5"/>
      <c r="E485" s="9" t="str">
        <f t="shared" si="7"/>
        <v/>
      </c>
      <c r="F485" s="3"/>
      <c r="G485" s="6" t="str">
        <f t="shared" si="6"/>
        <v/>
      </c>
      <c r="H485" s="7"/>
      <c r="I485" s="8"/>
      <c r="J485" s="12"/>
    </row>
    <row r="486" spans="1:10" x14ac:dyDescent="0.25">
      <c r="A486" s="2"/>
      <c r="B486" s="3"/>
      <c r="C486" s="4" t="str">
        <f t="shared" si="8"/>
        <v/>
      </c>
      <c r="D486" s="5"/>
      <c r="E486" s="9" t="str">
        <f t="shared" si="7"/>
        <v/>
      </c>
      <c r="F486" s="3"/>
      <c r="G486" s="6" t="str">
        <f t="shared" si="6"/>
        <v/>
      </c>
      <c r="H486" s="7"/>
      <c r="I486" s="8"/>
      <c r="J486" s="12"/>
    </row>
    <row r="487" spans="1:10" x14ac:dyDescent="0.25">
      <c r="A487" s="2"/>
      <c r="B487" s="3"/>
      <c r="C487" s="4" t="str">
        <f t="shared" si="8"/>
        <v/>
      </c>
      <c r="D487" s="5"/>
      <c r="E487" s="9" t="str">
        <f t="shared" si="7"/>
        <v/>
      </c>
      <c r="F487" s="3"/>
      <c r="G487" s="6" t="str">
        <f t="shared" si="6"/>
        <v/>
      </c>
      <c r="H487" s="7"/>
      <c r="I487" s="8"/>
      <c r="J487" s="12"/>
    </row>
    <row r="488" spans="1:10" x14ac:dyDescent="0.25">
      <c r="A488" s="2"/>
      <c r="B488" s="3"/>
      <c r="C488" s="4" t="str">
        <f t="shared" si="8"/>
        <v/>
      </c>
      <c r="D488" s="5"/>
      <c r="E488" s="9" t="str">
        <f t="shared" si="7"/>
        <v/>
      </c>
      <c r="F488" s="3"/>
      <c r="G488" s="6" t="str">
        <f t="shared" si="6"/>
        <v/>
      </c>
      <c r="H488" s="7"/>
      <c r="I488" s="8"/>
      <c r="J488" s="12"/>
    </row>
    <row r="489" spans="1:10" x14ac:dyDescent="0.25">
      <c r="A489" s="2"/>
      <c r="B489" s="3"/>
      <c r="C489" s="4" t="str">
        <f t="shared" si="8"/>
        <v/>
      </c>
      <c r="D489" s="5"/>
      <c r="E489" s="9" t="str">
        <f t="shared" si="7"/>
        <v/>
      </c>
      <c r="F489" s="3"/>
      <c r="G489" s="6" t="str">
        <f t="shared" si="6"/>
        <v/>
      </c>
      <c r="H489" s="7"/>
      <c r="I489" s="8"/>
      <c r="J489" s="12"/>
    </row>
    <row r="490" spans="1:10" x14ac:dyDescent="0.25">
      <c r="A490" s="2"/>
      <c r="B490" s="3"/>
      <c r="C490" s="4" t="str">
        <f t="shared" si="8"/>
        <v/>
      </c>
      <c r="D490" s="5"/>
      <c r="E490" s="9" t="str">
        <f t="shared" si="7"/>
        <v/>
      </c>
      <c r="F490" s="3"/>
      <c r="G490" s="6" t="str">
        <f t="shared" si="6"/>
        <v/>
      </c>
      <c r="H490" s="7"/>
      <c r="I490" s="8"/>
      <c r="J490" s="12"/>
    </row>
    <row r="491" spans="1:10" x14ac:dyDescent="0.25">
      <c r="A491" s="2"/>
      <c r="B491" s="3"/>
      <c r="C491" s="4" t="str">
        <f t="shared" si="8"/>
        <v/>
      </c>
      <c r="D491" s="5"/>
      <c r="E491" s="9" t="str">
        <f t="shared" si="7"/>
        <v/>
      </c>
      <c r="F491" s="3"/>
      <c r="G491" s="6" t="str">
        <f t="shared" si="6"/>
        <v/>
      </c>
      <c r="H491" s="7"/>
      <c r="I491" s="8"/>
      <c r="J491" s="12"/>
    </row>
    <row r="492" spans="1:10" x14ac:dyDescent="0.25">
      <c r="A492" s="2"/>
      <c r="B492" s="3"/>
      <c r="C492" s="4" t="str">
        <f t="shared" si="8"/>
        <v/>
      </c>
      <c r="D492" s="5"/>
      <c r="E492" s="9" t="str">
        <f t="shared" si="7"/>
        <v/>
      </c>
      <c r="F492" s="3"/>
      <c r="G492" s="6" t="str">
        <f t="shared" si="6"/>
        <v/>
      </c>
      <c r="H492" s="7"/>
      <c r="I492" s="8"/>
      <c r="J492" s="12"/>
    </row>
    <row r="493" spans="1:10" x14ac:dyDescent="0.25">
      <c r="A493" s="2"/>
      <c r="B493" s="3"/>
      <c r="C493" s="4" t="str">
        <f t="shared" si="8"/>
        <v/>
      </c>
      <c r="D493" s="5"/>
      <c r="E493" s="9" t="str">
        <f t="shared" si="7"/>
        <v/>
      </c>
      <c r="F493" s="3"/>
      <c r="G493" s="6" t="str">
        <f t="shared" si="6"/>
        <v/>
      </c>
      <c r="H493" s="7"/>
      <c r="I493" s="8"/>
      <c r="J493" s="12"/>
    </row>
    <row r="494" spans="1:10" x14ac:dyDescent="0.25">
      <c r="A494" s="2"/>
      <c r="B494" s="3"/>
      <c r="C494" s="4" t="str">
        <f t="shared" si="8"/>
        <v/>
      </c>
      <c r="D494" s="5"/>
      <c r="E494" s="9" t="str">
        <f t="shared" si="7"/>
        <v/>
      </c>
      <c r="F494" s="3"/>
      <c r="G494" s="6" t="str">
        <f t="shared" si="6"/>
        <v/>
      </c>
      <c r="H494" s="7"/>
      <c r="I494" s="8"/>
      <c r="J494" s="12"/>
    </row>
    <row r="495" spans="1:10" x14ac:dyDescent="0.25">
      <c r="A495" s="2"/>
      <c r="B495" s="3"/>
      <c r="C495" s="4" t="str">
        <f t="shared" si="8"/>
        <v/>
      </c>
      <c r="D495" s="5"/>
      <c r="E495" s="9" t="str">
        <f t="shared" si="7"/>
        <v/>
      </c>
      <c r="F495" s="3"/>
      <c r="G495" s="6" t="str">
        <f t="shared" si="6"/>
        <v/>
      </c>
      <c r="H495" s="7"/>
      <c r="I495" s="8"/>
      <c r="J495" s="12"/>
    </row>
    <row r="496" spans="1:10" x14ac:dyDescent="0.25">
      <c r="A496" s="2"/>
      <c r="B496" s="3"/>
      <c r="C496" s="4" t="str">
        <f t="shared" si="8"/>
        <v/>
      </c>
      <c r="D496" s="5"/>
      <c r="E496" s="9" t="str">
        <f t="shared" si="7"/>
        <v/>
      </c>
      <c r="F496" s="3"/>
      <c r="G496" s="6" t="str">
        <f t="shared" si="6"/>
        <v/>
      </c>
      <c r="H496" s="7"/>
      <c r="I496" s="8"/>
      <c r="J496" s="12"/>
    </row>
    <row r="497" spans="1:10" x14ac:dyDescent="0.25">
      <c r="A497" s="2"/>
      <c r="B497" s="3"/>
      <c r="C497" s="4" t="str">
        <f t="shared" si="8"/>
        <v/>
      </c>
      <c r="D497" s="5"/>
      <c r="E497" s="9" t="str">
        <f t="shared" si="7"/>
        <v/>
      </c>
      <c r="F497" s="3"/>
      <c r="G497" s="6" t="str">
        <f t="shared" si="6"/>
        <v/>
      </c>
      <c r="H497" s="7"/>
      <c r="I497" s="8"/>
      <c r="J497" s="12"/>
    </row>
    <row r="498" spans="1:10" x14ac:dyDescent="0.25">
      <c r="A498" s="2"/>
      <c r="B498" s="3"/>
      <c r="C498" s="4" t="str">
        <f t="shared" si="8"/>
        <v/>
      </c>
      <c r="D498" s="5"/>
      <c r="E498" s="9" t="str">
        <f t="shared" si="7"/>
        <v/>
      </c>
      <c r="F498" s="3"/>
      <c r="G498" s="6" t="str">
        <f t="shared" si="6"/>
        <v/>
      </c>
      <c r="H498" s="7"/>
      <c r="I498" s="8"/>
      <c r="J498" s="12"/>
    </row>
    <row r="499" spans="1:10" x14ac:dyDescent="0.25">
      <c r="A499" s="2"/>
      <c r="B499" s="3"/>
      <c r="C499" s="4" t="str">
        <f t="shared" si="8"/>
        <v/>
      </c>
      <c r="D499" s="5"/>
      <c r="E499" s="9" t="str">
        <f t="shared" si="7"/>
        <v/>
      </c>
      <c r="F499" s="3"/>
      <c r="G499" s="6" t="str">
        <f t="shared" si="6"/>
        <v/>
      </c>
      <c r="H499" s="7"/>
      <c r="I499" s="8"/>
      <c r="J499" s="12"/>
    </row>
    <row r="500" spans="1:10" x14ac:dyDescent="0.25">
      <c r="A500" s="2"/>
      <c r="B500" s="3"/>
      <c r="C500" s="4" t="str">
        <f t="shared" si="8"/>
        <v/>
      </c>
      <c r="D500" s="5"/>
      <c r="E500" s="9" t="str">
        <f t="shared" si="7"/>
        <v/>
      </c>
      <c r="F500" s="3"/>
      <c r="G500" s="6" t="str">
        <f t="shared" si="6"/>
        <v/>
      </c>
      <c r="H500" s="7"/>
      <c r="I500" s="8"/>
      <c r="J500" s="12"/>
    </row>
    <row r="501" spans="1:10" x14ac:dyDescent="0.25">
      <c r="A501" s="2"/>
      <c r="B501" s="3"/>
      <c r="C501" s="4" t="str">
        <f t="shared" si="8"/>
        <v/>
      </c>
      <c r="D501" s="5"/>
      <c r="E501" s="9" t="str">
        <f t="shared" si="7"/>
        <v/>
      </c>
      <c r="F501" s="3"/>
      <c r="G501" s="6" t="str">
        <f t="shared" si="6"/>
        <v/>
      </c>
      <c r="H501" s="7"/>
      <c r="I501" s="8"/>
      <c r="J501" s="12"/>
    </row>
    <row r="502" spans="1:10" x14ac:dyDescent="0.25">
      <c r="A502" s="2"/>
      <c r="B502" s="3"/>
      <c r="C502" s="4" t="str">
        <f t="shared" si="8"/>
        <v/>
      </c>
      <c r="D502" s="5"/>
      <c r="E502" s="9" t="str">
        <f t="shared" si="7"/>
        <v/>
      </c>
      <c r="F502" s="3"/>
      <c r="G502" s="6" t="str">
        <f t="shared" si="6"/>
        <v/>
      </c>
      <c r="H502" s="7"/>
      <c r="I502" s="8"/>
      <c r="J502" s="12"/>
    </row>
    <row r="503" spans="1:10" x14ac:dyDescent="0.25">
      <c r="A503" s="2"/>
      <c r="B503" s="3"/>
      <c r="C503" s="4" t="str">
        <f t="shared" si="8"/>
        <v/>
      </c>
      <c r="D503" s="5"/>
      <c r="E503" s="9" t="str">
        <f t="shared" si="7"/>
        <v/>
      </c>
      <c r="F503" s="3"/>
      <c r="G503" s="6" t="str">
        <f t="shared" si="6"/>
        <v/>
      </c>
      <c r="H503" s="7"/>
      <c r="I503" s="8"/>
      <c r="J503" s="12"/>
    </row>
    <row r="504" spans="1:10" x14ac:dyDescent="0.25">
      <c r="A504" s="2"/>
      <c r="B504" s="3"/>
      <c r="C504" s="4" t="str">
        <f t="shared" si="8"/>
        <v/>
      </c>
      <c r="D504" s="5"/>
      <c r="E504" s="9" t="str">
        <f t="shared" si="7"/>
        <v/>
      </c>
      <c r="F504" s="3"/>
      <c r="G504" s="6" t="str">
        <f t="shared" si="6"/>
        <v/>
      </c>
      <c r="H504" s="7"/>
      <c r="I504" s="8"/>
      <c r="J504" s="12"/>
    </row>
    <row r="505" spans="1:10" x14ac:dyDescent="0.25">
      <c r="A505" s="2"/>
      <c r="B505" s="3"/>
      <c r="C505" s="4" t="str">
        <f t="shared" si="8"/>
        <v/>
      </c>
      <c r="D505" s="5"/>
      <c r="E505" s="9" t="str">
        <f t="shared" si="7"/>
        <v/>
      </c>
      <c r="F505" s="3"/>
      <c r="G505" s="6" t="str">
        <f t="shared" si="6"/>
        <v/>
      </c>
      <c r="H505" s="7"/>
      <c r="I505" s="8"/>
      <c r="J505" s="12"/>
    </row>
    <row r="506" spans="1:10" x14ac:dyDescent="0.25">
      <c r="A506" s="2"/>
      <c r="B506" s="3"/>
      <c r="C506" s="4" t="str">
        <f t="shared" si="8"/>
        <v/>
      </c>
      <c r="D506" s="5"/>
      <c r="E506" s="9" t="str">
        <f t="shared" si="7"/>
        <v/>
      </c>
      <c r="F506" s="3"/>
      <c r="G506" s="6" t="str">
        <f t="shared" si="6"/>
        <v/>
      </c>
      <c r="H506" s="7"/>
      <c r="I506" s="8"/>
      <c r="J506" s="12"/>
    </row>
    <row r="507" spans="1:10" x14ac:dyDescent="0.25">
      <c r="A507" s="2"/>
      <c r="B507" s="3"/>
      <c r="C507" s="4" t="str">
        <f t="shared" si="8"/>
        <v/>
      </c>
      <c r="D507" s="5"/>
      <c r="E507" s="9" t="str">
        <f t="shared" si="7"/>
        <v/>
      </c>
      <c r="F507" s="3"/>
      <c r="G507" s="6" t="str">
        <f t="shared" si="6"/>
        <v/>
      </c>
      <c r="H507" s="7"/>
      <c r="I507" s="8"/>
      <c r="J507" s="12"/>
    </row>
    <row r="508" spans="1:10" x14ac:dyDescent="0.25">
      <c r="A508" s="2"/>
      <c r="B508" s="3"/>
      <c r="C508" s="4" t="str">
        <f t="shared" si="8"/>
        <v/>
      </c>
      <c r="D508" s="5"/>
      <c r="E508" s="9" t="str">
        <f t="shared" si="7"/>
        <v/>
      </c>
      <c r="F508" s="3"/>
      <c r="G508" s="6" t="str">
        <f t="shared" si="6"/>
        <v/>
      </c>
      <c r="H508" s="7"/>
      <c r="I508" s="8"/>
      <c r="J508" s="12"/>
    </row>
    <row r="509" spans="1:10" x14ac:dyDescent="0.25">
      <c r="A509" s="2"/>
      <c r="B509" s="3"/>
      <c r="C509" s="4" t="str">
        <f t="shared" si="8"/>
        <v/>
      </c>
      <c r="D509" s="5"/>
      <c r="E509" s="9" t="str">
        <f t="shared" si="7"/>
        <v/>
      </c>
      <c r="F509" s="3"/>
      <c r="G509" s="6" t="str">
        <f t="shared" si="6"/>
        <v/>
      </c>
      <c r="H509" s="7"/>
      <c r="I509" s="8"/>
      <c r="J509" s="12"/>
    </row>
    <row r="510" spans="1:10" x14ac:dyDescent="0.25">
      <c r="A510" s="2"/>
      <c r="B510" s="3"/>
      <c r="C510" s="4" t="str">
        <f t="shared" si="8"/>
        <v/>
      </c>
      <c r="D510" s="5"/>
      <c r="E510" s="9" t="str">
        <f t="shared" si="7"/>
        <v/>
      </c>
      <c r="F510" s="3"/>
      <c r="G510" s="6" t="str">
        <f t="shared" si="6"/>
        <v/>
      </c>
      <c r="H510" s="7"/>
      <c r="I510" s="8"/>
      <c r="J510" s="12"/>
    </row>
    <row r="511" spans="1:10" x14ac:dyDescent="0.25">
      <c r="A511" s="2"/>
      <c r="B511" s="3"/>
      <c r="C511" s="4" t="str">
        <f t="shared" si="8"/>
        <v/>
      </c>
      <c r="D511" s="5"/>
      <c r="E511" s="9" t="str">
        <f t="shared" si="7"/>
        <v/>
      </c>
      <c r="F511" s="3"/>
      <c r="G511" s="6" t="str">
        <f t="shared" si="6"/>
        <v/>
      </c>
      <c r="H511" s="7"/>
      <c r="I511" s="8"/>
      <c r="J511" s="12"/>
    </row>
    <row r="512" spans="1:10" x14ac:dyDescent="0.25">
      <c r="A512" s="2"/>
      <c r="B512" s="3"/>
      <c r="C512" s="4" t="str">
        <f t="shared" si="8"/>
        <v/>
      </c>
      <c r="D512" s="5"/>
      <c r="E512" s="9" t="str">
        <f t="shared" si="7"/>
        <v/>
      </c>
      <c r="F512" s="3"/>
      <c r="G512" s="6" t="str">
        <f t="shared" si="6"/>
        <v/>
      </c>
      <c r="H512" s="7"/>
      <c r="I512" s="8"/>
      <c r="J512" s="12"/>
    </row>
    <row r="513" spans="1:10" x14ac:dyDescent="0.25">
      <c r="A513" s="2"/>
      <c r="B513" s="3"/>
      <c r="C513" s="4" t="str">
        <f t="shared" si="8"/>
        <v/>
      </c>
      <c r="D513" s="5"/>
      <c r="E513" s="9" t="str">
        <f t="shared" si="7"/>
        <v/>
      </c>
      <c r="F513" s="3"/>
      <c r="G513" s="6" t="str">
        <f t="shared" si="6"/>
        <v/>
      </c>
      <c r="H513" s="7"/>
      <c r="I513" s="8"/>
      <c r="J513" s="12"/>
    </row>
    <row r="514" spans="1:10" x14ac:dyDescent="0.25">
      <c r="A514" s="2"/>
      <c r="B514" s="3"/>
      <c r="C514" s="4" t="str">
        <f t="shared" si="8"/>
        <v/>
      </c>
      <c r="D514" s="5"/>
      <c r="E514" s="9" t="str">
        <f t="shared" si="7"/>
        <v/>
      </c>
      <c r="F514" s="3"/>
      <c r="G514" s="6" t="str">
        <f t="shared" si="6"/>
        <v/>
      </c>
      <c r="H514" s="7"/>
      <c r="I514" s="8"/>
      <c r="J514" s="12"/>
    </row>
    <row r="515" spans="1:10" x14ac:dyDescent="0.25">
      <c r="A515" s="2"/>
      <c r="B515" s="3"/>
      <c r="C515" s="4" t="str">
        <f t="shared" si="8"/>
        <v/>
      </c>
      <c r="D515" s="5"/>
      <c r="E515" s="9" t="str">
        <f t="shared" si="7"/>
        <v/>
      </c>
      <c r="F515" s="3"/>
      <c r="G515" s="6" t="str">
        <f t="shared" si="6"/>
        <v/>
      </c>
      <c r="H515" s="7"/>
      <c r="I515" s="8"/>
      <c r="J515" s="12"/>
    </row>
    <row r="516" spans="1:10" x14ac:dyDescent="0.25">
      <c r="A516" s="2"/>
      <c r="B516" s="3"/>
      <c r="C516" s="4" t="str">
        <f t="shared" si="8"/>
        <v/>
      </c>
      <c r="D516" s="5"/>
      <c r="E516" s="9" t="str">
        <f t="shared" si="7"/>
        <v/>
      </c>
      <c r="F516" s="3"/>
      <c r="G516" s="6" t="str">
        <f t="shared" ref="G516:G579" si="9">IF(A516="","",HYPERLINK(N516,S516))</f>
        <v/>
      </c>
      <c r="H516" s="7"/>
      <c r="I516" s="8"/>
      <c r="J516" s="12"/>
    </row>
    <row r="517" spans="1:10" x14ac:dyDescent="0.25">
      <c r="A517" s="2"/>
      <c r="B517" s="3"/>
      <c r="C517" s="4" t="str">
        <f t="shared" si="8"/>
        <v/>
      </c>
      <c r="D517" s="5"/>
      <c r="E517" s="9" t="str">
        <f t="shared" ref="E517:E580" si="10">IF(A517="","",IF(T517="",M517,HYPERLINK(X517,M517)))</f>
        <v/>
      </c>
      <c r="F517" s="3"/>
      <c r="G517" s="6" t="str">
        <f t="shared" si="9"/>
        <v/>
      </c>
      <c r="H517" s="7"/>
      <c r="I517" s="8"/>
      <c r="J517" s="12"/>
    </row>
    <row r="518" spans="1:10" x14ac:dyDescent="0.25">
      <c r="A518" s="2"/>
      <c r="B518" s="3"/>
      <c r="C518" s="4" t="str">
        <f t="shared" ref="C518:C581" si="11">IF(A518="","",HYPERLINK(W518,O518))</f>
        <v/>
      </c>
      <c r="D518" s="5"/>
      <c r="E518" s="9" t="str">
        <f t="shared" si="10"/>
        <v/>
      </c>
      <c r="F518" s="3"/>
      <c r="G518" s="6" t="str">
        <f t="shared" si="9"/>
        <v/>
      </c>
      <c r="H518" s="7"/>
      <c r="I518" s="8"/>
      <c r="J518" s="12"/>
    </row>
    <row r="519" spans="1:10" x14ac:dyDescent="0.25">
      <c r="A519" s="2"/>
      <c r="B519" s="3"/>
      <c r="C519" s="4" t="str">
        <f t="shared" si="11"/>
        <v/>
      </c>
      <c r="D519" s="5"/>
      <c r="E519" s="9" t="str">
        <f t="shared" si="10"/>
        <v/>
      </c>
      <c r="F519" s="3"/>
      <c r="G519" s="6" t="str">
        <f t="shared" si="9"/>
        <v/>
      </c>
      <c r="H519" s="7"/>
      <c r="I519" s="8"/>
      <c r="J519" s="12"/>
    </row>
    <row r="520" spans="1:10" x14ac:dyDescent="0.25">
      <c r="A520" s="2"/>
      <c r="B520" s="3"/>
      <c r="C520" s="4" t="str">
        <f t="shared" si="11"/>
        <v/>
      </c>
      <c r="D520" s="5"/>
      <c r="E520" s="9" t="str">
        <f t="shared" si="10"/>
        <v/>
      </c>
      <c r="F520" s="3"/>
      <c r="G520" s="6" t="str">
        <f t="shared" si="9"/>
        <v/>
      </c>
      <c r="H520" s="7"/>
      <c r="I520" s="8"/>
      <c r="J520" s="12"/>
    </row>
    <row r="521" spans="1:10" x14ac:dyDescent="0.25">
      <c r="A521" s="2"/>
      <c r="B521" s="3"/>
      <c r="C521" s="4" t="str">
        <f t="shared" si="11"/>
        <v/>
      </c>
      <c r="D521" s="5"/>
      <c r="E521" s="9" t="str">
        <f t="shared" si="10"/>
        <v/>
      </c>
      <c r="F521" s="3"/>
      <c r="G521" s="6" t="str">
        <f t="shared" si="9"/>
        <v/>
      </c>
      <c r="H521" s="7"/>
      <c r="I521" s="8"/>
      <c r="J521" s="12"/>
    </row>
    <row r="522" spans="1:10" x14ac:dyDescent="0.25">
      <c r="A522" s="2"/>
      <c r="B522" s="3"/>
      <c r="C522" s="4" t="str">
        <f t="shared" si="11"/>
        <v/>
      </c>
      <c r="D522" s="5"/>
      <c r="E522" s="9" t="str">
        <f t="shared" si="10"/>
        <v/>
      </c>
      <c r="F522" s="3"/>
      <c r="G522" s="6" t="str">
        <f t="shared" si="9"/>
        <v/>
      </c>
      <c r="H522" s="7"/>
      <c r="I522" s="8"/>
      <c r="J522" s="12"/>
    </row>
    <row r="523" spans="1:10" x14ac:dyDescent="0.25">
      <c r="A523" s="2"/>
      <c r="B523" s="3"/>
      <c r="C523" s="4" t="str">
        <f t="shared" si="11"/>
        <v/>
      </c>
      <c r="D523" s="5"/>
      <c r="E523" s="9" t="str">
        <f t="shared" si="10"/>
        <v/>
      </c>
      <c r="F523" s="3"/>
      <c r="G523" s="6" t="str">
        <f t="shared" si="9"/>
        <v/>
      </c>
      <c r="H523" s="7"/>
      <c r="I523" s="8"/>
      <c r="J523" s="12"/>
    </row>
    <row r="524" spans="1:10" x14ac:dyDescent="0.25">
      <c r="A524" s="2"/>
      <c r="B524" s="3"/>
      <c r="C524" s="4" t="str">
        <f t="shared" si="11"/>
        <v/>
      </c>
      <c r="D524" s="5"/>
      <c r="E524" s="9" t="str">
        <f t="shared" si="10"/>
        <v/>
      </c>
      <c r="F524" s="3"/>
      <c r="G524" s="6" t="str">
        <f t="shared" si="9"/>
        <v/>
      </c>
      <c r="H524" s="7"/>
      <c r="I524" s="8"/>
      <c r="J524" s="12"/>
    </row>
    <row r="525" spans="1:10" x14ac:dyDescent="0.25">
      <c r="A525" s="2"/>
      <c r="B525" s="3"/>
      <c r="C525" s="4" t="str">
        <f t="shared" si="11"/>
        <v/>
      </c>
      <c r="D525" s="5"/>
      <c r="E525" s="9" t="str">
        <f t="shared" si="10"/>
        <v/>
      </c>
      <c r="F525" s="3"/>
      <c r="G525" s="6" t="str">
        <f t="shared" si="9"/>
        <v/>
      </c>
      <c r="H525" s="7"/>
      <c r="I525" s="8"/>
      <c r="J525" s="12"/>
    </row>
    <row r="526" spans="1:10" x14ac:dyDescent="0.25">
      <c r="A526" s="2"/>
      <c r="B526" s="3"/>
      <c r="C526" s="4" t="str">
        <f t="shared" si="11"/>
        <v/>
      </c>
      <c r="D526" s="5"/>
      <c r="E526" s="9" t="str">
        <f t="shared" si="10"/>
        <v/>
      </c>
      <c r="F526" s="3"/>
      <c r="G526" s="6" t="str">
        <f t="shared" si="9"/>
        <v/>
      </c>
      <c r="H526" s="7"/>
      <c r="I526" s="8"/>
      <c r="J526" s="12"/>
    </row>
    <row r="527" spans="1:10" x14ac:dyDescent="0.25">
      <c r="A527" s="2"/>
      <c r="B527" s="3"/>
      <c r="C527" s="4" t="str">
        <f t="shared" si="11"/>
        <v/>
      </c>
      <c r="D527" s="5"/>
      <c r="E527" s="9" t="str">
        <f t="shared" si="10"/>
        <v/>
      </c>
      <c r="F527" s="3"/>
      <c r="G527" s="6" t="str">
        <f t="shared" si="9"/>
        <v/>
      </c>
      <c r="H527" s="7"/>
      <c r="I527" s="8"/>
      <c r="J527" s="12"/>
    </row>
    <row r="528" spans="1:10" x14ac:dyDescent="0.25">
      <c r="A528" s="2"/>
      <c r="B528" s="3"/>
      <c r="C528" s="4" t="str">
        <f t="shared" si="11"/>
        <v/>
      </c>
      <c r="D528" s="5"/>
      <c r="E528" s="9" t="str">
        <f t="shared" si="10"/>
        <v/>
      </c>
      <c r="F528" s="3"/>
      <c r="G528" s="6" t="str">
        <f t="shared" si="9"/>
        <v/>
      </c>
      <c r="H528" s="7"/>
      <c r="I528" s="8"/>
      <c r="J528" s="12"/>
    </row>
    <row r="529" spans="1:10" x14ac:dyDescent="0.25">
      <c r="A529" s="2"/>
      <c r="B529" s="3"/>
      <c r="C529" s="4" t="str">
        <f t="shared" si="11"/>
        <v/>
      </c>
      <c r="D529" s="5"/>
      <c r="E529" s="9" t="str">
        <f t="shared" si="10"/>
        <v/>
      </c>
      <c r="F529" s="3"/>
      <c r="G529" s="6" t="str">
        <f t="shared" si="9"/>
        <v/>
      </c>
      <c r="H529" s="7"/>
      <c r="I529" s="8"/>
      <c r="J529" s="12"/>
    </row>
    <row r="530" spans="1:10" x14ac:dyDescent="0.25">
      <c r="A530" s="2"/>
      <c r="B530" s="3"/>
      <c r="C530" s="4" t="str">
        <f t="shared" si="11"/>
        <v/>
      </c>
      <c r="D530" s="5"/>
      <c r="E530" s="9" t="str">
        <f t="shared" si="10"/>
        <v/>
      </c>
      <c r="F530" s="3"/>
      <c r="G530" s="6" t="str">
        <f t="shared" si="9"/>
        <v/>
      </c>
      <c r="H530" s="7"/>
      <c r="I530" s="8"/>
      <c r="J530" s="12"/>
    </row>
    <row r="531" spans="1:10" x14ac:dyDescent="0.25">
      <c r="A531" s="2"/>
      <c r="B531" s="3"/>
      <c r="C531" s="4" t="str">
        <f t="shared" si="11"/>
        <v/>
      </c>
      <c r="D531" s="5"/>
      <c r="E531" s="9" t="str">
        <f t="shared" si="10"/>
        <v/>
      </c>
      <c r="F531" s="3"/>
      <c r="G531" s="6" t="str">
        <f t="shared" si="9"/>
        <v/>
      </c>
      <c r="H531" s="7"/>
      <c r="I531" s="8"/>
      <c r="J531" s="12"/>
    </row>
    <row r="532" spans="1:10" x14ac:dyDescent="0.25">
      <c r="A532" s="2"/>
      <c r="B532" s="3"/>
      <c r="C532" s="4" t="str">
        <f t="shared" si="11"/>
        <v/>
      </c>
      <c r="D532" s="5"/>
      <c r="E532" s="9" t="str">
        <f t="shared" si="10"/>
        <v/>
      </c>
      <c r="F532" s="3"/>
      <c r="G532" s="6" t="str">
        <f t="shared" si="9"/>
        <v/>
      </c>
      <c r="H532" s="7"/>
      <c r="I532" s="8"/>
      <c r="J532" s="12"/>
    </row>
    <row r="533" spans="1:10" x14ac:dyDescent="0.25">
      <c r="A533" s="2"/>
      <c r="B533" s="3"/>
      <c r="C533" s="4" t="str">
        <f t="shared" si="11"/>
        <v/>
      </c>
      <c r="D533" s="5"/>
      <c r="E533" s="9" t="str">
        <f t="shared" si="10"/>
        <v/>
      </c>
      <c r="F533" s="3"/>
      <c r="G533" s="6" t="str">
        <f t="shared" si="9"/>
        <v/>
      </c>
      <c r="H533" s="7"/>
      <c r="I533" s="8"/>
      <c r="J533" s="12"/>
    </row>
    <row r="534" spans="1:10" x14ac:dyDescent="0.25">
      <c r="A534" s="2"/>
      <c r="B534" s="3"/>
      <c r="C534" s="4" t="str">
        <f t="shared" si="11"/>
        <v/>
      </c>
      <c r="D534" s="5"/>
      <c r="E534" s="9" t="str">
        <f t="shared" si="10"/>
        <v/>
      </c>
      <c r="F534" s="3"/>
      <c r="G534" s="6" t="str">
        <f t="shared" si="9"/>
        <v/>
      </c>
      <c r="H534" s="7"/>
      <c r="I534" s="8"/>
      <c r="J534" s="12"/>
    </row>
    <row r="535" spans="1:10" x14ac:dyDescent="0.25">
      <c r="A535" s="2"/>
      <c r="B535" s="3"/>
      <c r="C535" s="4" t="str">
        <f t="shared" si="11"/>
        <v/>
      </c>
      <c r="D535" s="5"/>
      <c r="E535" s="9" t="str">
        <f t="shared" si="10"/>
        <v/>
      </c>
      <c r="F535" s="3"/>
      <c r="G535" s="6" t="str">
        <f t="shared" si="9"/>
        <v/>
      </c>
      <c r="H535" s="7"/>
      <c r="I535" s="8"/>
      <c r="J535" s="12"/>
    </row>
    <row r="536" spans="1:10" x14ac:dyDescent="0.25">
      <c r="A536" s="2"/>
      <c r="B536" s="3"/>
      <c r="C536" s="4" t="str">
        <f t="shared" si="11"/>
        <v/>
      </c>
      <c r="D536" s="5"/>
      <c r="E536" s="9" t="str">
        <f t="shared" si="10"/>
        <v/>
      </c>
      <c r="F536" s="3"/>
      <c r="G536" s="6" t="str">
        <f t="shared" si="9"/>
        <v/>
      </c>
      <c r="H536" s="7"/>
      <c r="I536" s="8"/>
      <c r="J536" s="12"/>
    </row>
    <row r="537" spans="1:10" x14ac:dyDescent="0.25">
      <c r="A537" s="2"/>
      <c r="B537" s="3"/>
      <c r="C537" s="4" t="str">
        <f t="shared" si="11"/>
        <v/>
      </c>
      <c r="D537" s="5"/>
      <c r="E537" s="9" t="str">
        <f t="shared" si="10"/>
        <v/>
      </c>
      <c r="F537" s="3"/>
      <c r="G537" s="6" t="str">
        <f t="shared" si="9"/>
        <v/>
      </c>
      <c r="H537" s="7"/>
      <c r="I537" s="8"/>
      <c r="J537" s="12"/>
    </row>
    <row r="538" spans="1:10" x14ac:dyDescent="0.25">
      <c r="A538" s="2"/>
      <c r="B538" s="3"/>
      <c r="C538" s="4" t="str">
        <f t="shared" si="11"/>
        <v/>
      </c>
      <c r="D538" s="5"/>
      <c r="E538" s="9" t="str">
        <f t="shared" si="10"/>
        <v/>
      </c>
      <c r="F538" s="3"/>
      <c r="G538" s="6" t="str">
        <f t="shared" si="9"/>
        <v/>
      </c>
      <c r="H538" s="7"/>
      <c r="I538" s="8"/>
      <c r="J538" s="12"/>
    </row>
    <row r="539" spans="1:10" x14ac:dyDescent="0.25">
      <c r="A539" s="2"/>
      <c r="B539" s="3"/>
      <c r="C539" s="4" t="str">
        <f t="shared" si="11"/>
        <v/>
      </c>
      <c r="D539" s="5"/>
      <c r="E539" s="9" t="str">
        <f t="shared" si="10"/>
        <v/>
      </c>
      <c r="F539" s="3"/>
      <c r="G539" s="6" t="str">
        <f t="shared" si="9"/>
        <v/>
      </c>
      <c r="H539" s="7"/>
      <c r="I539" s="8"/>
      <c r="J539" s="12"/>
    </row>
    <row r="540" spans="1:10" x14ac:dyDescent="0.25">
      <c r="A540" s="2"/>
      <c r="B540" s="3"/>
      <c r="C540" s="4" t="str">
        <f t="shared" si="11"/>
        <v/>
      </c>
      <c r="D540" s="5"/>
      <c r="E540" s="9" t="str">
        <f t="shared" si="10"/>
        <v/>
      </c>
      <c r="F540" s="3"/>
      <c r="G540" s="6" t="str">
        <f t="shared" si="9"/>
        <v/>
      </c>
      <c r="H540" s="7"/>
      <c r="I540" s="8"/>
      <c r="J540" s="12"/>
    </row>
    <row r="541" spans="1:10" x14ac:dyDescent="0.25">
      <c r="A541" s="2"/>
      <c r="B541" s="3"/>
      <c r="C541" s="4" t="str">
        <f t="shared" si="11"/>
        <v/>
      </c>
      <c r="D541" s="5"/>
      <c r="E541" s="9" t="str">
        <f t="shared" si="10"/>
        <v/>
      </c>
      <c r="F541" s="3"/>
      <c r="G541" s="6" t="str">
        <f t="shared" si="9"/>
        <v/>
      </c>
      <c r="H541" s="7"/>
      <c r="I541" s="8"/>
      <c r="J541" s="12"/>
    </row>
    <row r="542" spans="1:10" x14ac:dyDescent="0.25">
      <c r="A542" s="2"/>
      <c r="B542" s="3"/>
      <c r="C542" s="4" t="str">
        <f t="shared" si="11"/>
        <v/>
      </c>
      <c r="D542" s="5"/>
      <c r="E542" s="9" t="str">
        <f t="shared" si="10"/>
        <v/>
      </c>
      <c r="F542" s="3"/>
      <c r="G542" s="6" t="str">
        <f t="shared" si="9"/>
        <v/>
      </c>
      <c r="H542" s="7"/>
      <c r="I542" s="8"/>
      <c r="J542" s="12"/>
    </row>
    <row r="543" spans="1:10" x14ac:dyDescent="0.25">
      <c r="A543" s="2"/>
      <c r="B543" s="3"/>
      <c r="C543" s="4" t="str">
        <f t="shared" si="11"/>
        <v/>
      </c>
      <c r="D543" s="5"/>
      <c r="E543" s="9" t="str">
        <f t="shared" si="10"/>
        <v/>
      </c>
      <c r="F543" s="3"/>
      <c r="G543" s="6" t="str">
        <f t="shared" si="9"/>
        <v/>
      </c>
      <c r="H543" s="7"/>
      <c r="I543" s="8"/>
      <c r="J543" s="12"/>
    </row>
    <row r="544" spans="1:10" x14ac:dyDescent="0.25">
      <c r="A544" s="2"/>
      <c r="B544" s="3"/>
      <c r="C544" s="4" t="str">
        <f t="shared" si="11"/>
        <v/>
      </c>
      <c r="D544" s="5"/>
      <c r="E544" s="9" t="str">
        <f t="shared" si="10"/>
        <v/>
      </c>
      <c r="F544" s="3"/>
      <c r="G544" s="6" t="str">
        <f t="shared" si="9"/>
        <v/>
      </c>
      <c r="H544" s="7"/>
      <c r="I544" s="8"/>
      <c r="J544" s="12"/>
    </row>
    <row r="545" spans="1:10" x14ac:dyDescent="0.25">
      <c r="A545" s="2"/>
      <c r="B545" s="3"/>
      <c r="C545" s="4" t="str">
        <f t="shared" si="11"/>
        <v/>
      </c>
      <c r="D545" s="5"/>
      <c r="E545" s="9" t="str">
        <f t="shared" si="10"/>
        <v/>
      </c>
      <c r="F545" s="3"/>
      <c r="G545" s="6" t="str">
        <f t="shared" si="9"/>
        <v/>
      </c>
      <c r="H545" s="7"/>
      <c r="I545" s="8"/>
      <c r="J545" s="12"/>
    </row>
    <row r="546" spans="1:10" x14ac:dyDescent="0.25">
      <c r="A546" s="2"/>
      <c r="B546" s="3"/>
      <c r="C546" s="4" t="str">
        <f t="shared" si="11"/>
        <v/>
      </c>
      <c r="D546" s="5"/>
      <c r="E546" s="9" t="str">
        <f t="shared" si="10"/>
        <v/>
      </c>
      <c r="F546" s="3"/>
      <c r="G546" s="6" t="str">
        <f t="shared" si="9"/>
        <v/>
      </c>
      <c r="H546" s="7"/>
      <c r="I546" s="8"/>
      <c r="J546" s="12"/>
    </row>
    <row r="547" spans="1:10" x14ac:dyDescent="0.25">
      <c r="A547" s="2"/>
      <c r="B547" s="3"/>
      <c r="C547" s="4" t="str">
        <f t="shared" si="11"/>
        <v/>
      </c>
      <c r="D547" s="5"/>
      <c r="E547" s="9" t="str">
        <f t="shared" si="10"/>
        <v/>
      </c>
      <c r="F547" s="3"/>
      <c r="G547" s="6" t="str">
        <f t="shared" si="9"/>
        <v/>
      </c>
      <c r="H547" s="7"/>
      <c r="I547" s="8"/>
      <c r="J547" s="12"/>
    </row>
    <row r="548" spans="1:10" x14ac:dyDescent="0.25">
      <c r="A548" s="2"/>
      <c r="B548" s="3"/>
      <c r="C548" s="4" t="str">
        <f t="shared" si="11"/>
        <v/>
      </c>
      <c r="D548" s="5"/>
      <c r="E548" s="9" t="str">
        <f t="shared" si="10"/>
        <v/>
      </c>
      <c r="F548" s="3"/>
      <c r="G548" s="6" t="str">
        <f t="shared" si="9"/>
        <v/>
      </c>
      <c r="H548" s="7"/>
      <c r="I548" s="8"/>
      <c r="J548" s="12"/>
    </row>
    <row r="549" spans="1:10" x14ac:dyDescent="0.25">
      <c r="A549" s="2"/>
      <c r="B549" s="3"/>
      <c r="C549" s="4" t="str">
        <f t="shared" si="11"/>
        <v/>
      </c>
      <c r="D549" s="5"/>
      <c r="E549" s="9" t="str">
        <f t="shared" si="10"/>
        <v/>
      </c>
      <c r="F549" s="3"/>
      <c r="G549" s="6" t="str">
        <f t="shared" si="9"/>
        <v/>
      </c>
      <c r="H549" s="7"/>
      <c r="I549" s="8"/>
      <c r="J549" s="12"/>
    </row>
    <row r="550" spans="1:10" x14ac:dyDescent="0.25">
      <c r="A550" s="2"/>
      <c r="B550" s="3"/>
      <c r="C550" s="4" t="str">
        <f t="shared" si="11"/>
        <v/>
      </c>
      <c r="D550" s="5"/>
      <c r="E550" s="9" t="str">
        <f t="shared" si="10"/>
        <v/>
      </c>
      <c r="F550" s="3"/>
      <c r="G550" s="6" t="str">
        <f t="shared" si="9"/>
        <v/>
      </c>
      <c r="H550" s="7"/>
      <c r="I550" s="8"/>
      <c r="J550" s="12"/>
    </row>
    <row r="551" spans="1:10" x14ac:dyDescent="0.25">
      <c r="A551" s="2"/>
      <c r="B551" s="3"/>
      <c r="C551" s="4" t="str">
        <f t="shared" si="11"/>
        <v/>
      </c>
      <c r="D551" s="5"/>
      <c r="E551" s="9" t="str">
        <f t="shared" si="10"/>
        <v/>
      </c>
      <c r="F551" s="3"/>
      <c r="G551" s="6" t="str">
        <f t="shared" si="9"/>
        <v/>
      </c>
      <c r="H551" s="7"/>
      <c r="I551" s="8"/>
      <c r="J551" s="12"/>
    </row>
    <row r="552" spans="1:10" x14ac:dyDescent="0.25">
      <c r="A552" s="2"/>
      <c r="B552" s="3"/>
      <c r="C552" s="4" t="str">
        <f t="shared" si="11"/>
        <v/>
      </c>
      <c r="D552" s="5"/>
      <c r="E552" s="9" t="str">
        <f t="shared" si="10"/>
        <v/>
      </c>
      <c r="F552" s="3"/>
      <c r="G552" s="6" t="str">
        <f t="shared" si="9"/>
        <v/>
      </c>
      <c r="H552" s="7"/>
      <c r="I552" s="8"/>
      <c r="J552" s="12"/>
    </row>
    <row r="553" spans="1:10" x14ac:dyDescent="0.25">
      <c r="A553" s="2"/>
      <c r="B553" s="3"/>
      <c r="C553" s="4" t="str">
        <f t="shared" si="11"/>
        <v/>
      </c>
      <c r="D553" s="5"/>
      <c r="E553" s="9" t="str">
        <f t="shared" si="10"/>
        <v/>
      </c>
      <c r="F553" s="3"/>
      <c r="G553" s="6" t="str">
        <f t="shared" si="9"/>
        <v/>
      </c>
      <c r="H553" s="7"/>
      <c r="I553" s="8"/>
      <c r="J553" s="12"/>
    </row>
    <row r="554" spans="1:10" x14ac:dyDescent="0.25">
      <c r="A554" s="2"/>
      <c r="B554" s="3"/>
      <c r="C554" s="4" t="str">
        <f t="shared" si="11"/>
        <v/>
      </c>
      <c r="D554" s="5"/>
      <c r="E554" s="9" t="str">
        <f t="shared" si="10"/>
        <v/>
      </c>
      <c r="F554" s="3"/>
      <c r="G554" s="6" t="str">
        <f t="shared" si="9"/>
        <v/>
      </c>
      <c r="H554" s="7"/>
      <c r="I554" s="8"/>
      <c r="J554" s="12"/>
    </row>
    <row r="555" spans="1:10" x14ac:dyDescent="0.25">
      <c r="A555" s="2"/>
      <c r="B555" s="3"/>
      <c r="C555" s="4" t="str">
        <f t="shared" si="11"/>
        <v/>
      </c>
      <c r="D555" s="5"/>
      <c r="E555" s="9" t="str">
        <f t="shared" si="10"/>
        <v/>
      </c>
      <c r="F555" s="3"/>
      <c r="G555" s="6" t="str">
        <f t="shared" si="9"/>
        <v/>
      </c>
      <c r="H555" s="7"/>
      <c r="I555" s="8"/>
      <c r="J555" s="12"/>
    </row>
    <row r="556" spans="1:10" x14ac:dyDescent="0.25">
      <c r="A556" s="2"/>
      <c r="B556" s="3"/>
      <c r="C556" s="4" t="str">
        <f t="shared" si="11"/>
        <v/>
      </c>
      <c r="D556" s="5"/>
      <c r="E556" s="9" t="str">
        <f t="shared" si="10"/>
        <v/>
      </c>
      <c r="F556" s="3"/>
      <c r="G556" s="6" t="str">
        <f t="shared" si="9"/>
        <v/>
      </c>
      <c r="H556" s="7"/>
      <c r="I556" s="8"/>
      <c r="J556" s="12"/>
    </row>
    <row r="557" spans="1:10" x14ac:dyDescent="0.25">
      <c r="A557" s="2"/>
      <c r="B557" s="3"/>
      <c r="C557" s="4" t="str">
        <f t="shared" si="11"/>
        <v/>
      </c>
      <c r="D557" s="5"/>
      <c r="E557" s="9" t="str">
        <f t="shared" si="10"/>
        <v/>
      </c>
      <c r="F557" s="3"/>
      <c r="G557" s="6" t="str">
        <f t="shared" si="9"/>
        <v/>
      </c>
      <c r="H557" s="7"/>
      <c r="I557" s="8"/>
      <c r="J557" s="12"/>
    </row>
    <row r="558" spans="1:10" x14ac:dyDescent="0.25">
      <c r="A558" s="2"/>
      <c r="B558" s="3"/>
      <c r="C558" s="4" t="str">
        <f t="shared" si="11"/>
        <v/>
      </c>
      <c r="D558" s="5"/>
      <c r="E558" s="9" t="str">
        <f t="shared" si="10"/>
        <v/>
      </c>
      <c r="F558" s="3"/>
      <c r="G558" s="6" t="str">
        <f t="shared" si="9"/>
        <v/>
      </c>
      <c r="H558" s="7"/>
      <c r="I558" s="8"/>
      <c r="J558" s="12"/>
    </row>
    <row r="559" spans="1:10" x14ac:dyDescent="0.25">
      <c r="A559" s="2"/>
      <c r="B559" s="3"/>
      <c r="C559" s="4" t="str">
        <f t="shared" si="11"/>
        <v/>
      </c>
      <c r="D559" s="5"/>
      <c r="E559" s="9" t="str">
        <f t="shared" si="10"/>
        <v/>
      </c>
      <c r="F559" s="3"/>
      <c r="G559" s="6" t="str">
        <f t="shared" si="9"/>
        <v/>
      </c>
      <c r="H559" s="7"/>
      <c r="I559" s="8"/>
      <c r="J559" s="12"/>
    </row>
    <row r="560" spans="1:10" x14ac:dyDescent="0.25">
      <c r="A560" s="2"/>
      <c r="B560" s="3"/>
      <c r="C560" s="4" t="str">
        <f t="shared" si="11"/>
        <v/>
      </c>
      <c r="D560" s="5"/>
      <c r="E560" s="9" t="str">
        <f t="shared" si="10"/>
        <v/>
      </c>
      <c r="F560" s="3"/>
      <c r="G560" s="6" t="str">
        <f t="shared" si="9"/>
        <v/>
      </c>
      <c r="H560" s="7"/>
      <c r="I560" s="8"/>
      <c r="J560" s="12"/>
    </row>
    <row r="561" spans="1:10" x14ac:dyDescent="0.25">
      <c r="A561" s="2"/>
      <c r="B561" s="3"/>
      <c r="C561" s="4" t="str">
        <f t="shared" si="11"/>
        <v/>
      </c>
      <c r="D561" s="5"/>
      <c r="E561" s="9" t="str">
        <f t="shared" si="10"/>
        <v/>
      </c>
      <c r="F561" s="3"/>
      <c r="G561" s="6" t="str">
        <f t="shared" si="9"/>
        <v/>
      </c>
      <c r="H561" s="7"/>
      <c r="I561" s="8"/>
      <c r="J561" s="12"/>
    </row>
    <row r="562" spans="1:10" x14ac:dyDescent="0.25">
      <c r="A562" s="2"/>
      <c r="B562" s="3"/>
      <c r="C562" s="4" t="str">
        <f t="shared" si="11"/>
        <v/>
      </c>
      <c r="D562" s="5"/>
      <c r="E562" s="9" t="str">
        <f t="shared" si="10"/>
        <v/>
      </c>
      <c r="F562" s="3"/>
      <c r="G562" s="6" t="str">
        <f t="shared" si="9"/>
        <v/>
      </c>
      <c r="H562" s="7"/>
      <c r="I562" s="8"/>
      <c r="J562" s="12"/>
    </row>
    <row r="563" spans="1:10" x14ac:dyDescent="0.25">
      <c r="A563" s="2"/>
      <c r="B563" s="3"/>
      <c r="C563" s="4" t="str">
        <f t="shared" si="11"/>
        <v/>
      </c>
      <c r="D563" s="5"/>
      <c r="E563" s="9" t="str">
        <f t="shared" si="10"/>
        <v/>
      </c>
      <c r="F563" s="3"/>
      <c r="G563" s="6" t="str">
        <f t="shared" si="9"/>
        <v/>
      </c>
      <c r="H563" s="7"/>
      <c r="I563" s="8"/>
      <c r="J563" s="12"/>
    </row>
    <row r="564" spans="1:10" x14ac:dyDescent="0.25">
      <c r="A564" s="2"/>
      <c r="B564" s="3"/>
      <c r="C564" s="4" t="str">
        <f t="shared" si="11"/>
        <v/>
      </c>
      <c r="D564" s="5"/>
      <c r="E564" s="9" t="str">
        <f t="shared" si="10"/>
        <v/>
      </c>
      <c r="F564" s="3"/>
      <c r="G564" s="6" t="str">
        <f t="shared" si="9"/>
        <v/>
      </c>
      <c r="H564" s="7"/>
      <c r="I564" s="8"/>
      <c r="J564" s="12"/>
    </row>
    <row r="565" spans="1:10" x14ac:dyDescent="0.25">
      <c r="A565" s="2"/>
      <c r="B565" s="3"/>
      <c r="C565" s="4" t="str">
        <f t="shared" si="11"/>
        <v/>
      </c>
      <c r="D565" s="5"/>
      <c r="E565" s="9" t="str">
        <f t="shared" si="10"/>
        <v/>
      </c>
      <c r="F565" s="3"/>
      <c r="G565" s="6" t="str">
        <f t="shared" si="9"/>
        <v/>
      </c>
      <c r="H565" s="7"/>
      <c r="I565" s="8"/>
      <c r="J565" s="12"/>
    </row>
    <row r="566" spans="1:10" x14ac:dyDescent="0.25">
      <c r="A566" s="2"/>
      <c r="B566" s="3"/>
      <c r="C566" s="4" t="str">
        <f t="shared" si="11"/>
        <v/>
      </c>
      <c r="D566" s="5"/>
      <c r="E566" s="9" t="str">
        <f t="shared" si="10"/>
        <v/>
      </c>
      <c r="F566" s="3"/>
      <c r="G566" s="6" t="str">
        <f t="shared" si="9"/>
        <v/>
      </c>
      <c r="H566" s="7"/>
      <c r="I566" s="8"/>
      <c r="J566" s="12"/>
    </row>
    <row r="567" spans="1:10" x14ac:dyDescent="0.25">
      <c r="A567" s="2"/>
      <c r="B567" s="3"/>
      <c r="C567" s="4" t="str">
        <f t="shared" si="11"/>
        <v/>
      </c>
      <c r="D567" s="5"/>
      <c r="E567" s="9" t="str">
        <f t="shared" si="10"/>
        <v/>
      </c>
      <c r="F567" s="3"/>
      <c r="G567" s="6" t="str">
        <f t="shared" si="9"/>
        <v/>
      </c>
      <c r="H567" s="7"/>
      <c r="I567" s="8"/>
      <c r="J567" s="12"/>
    </row>
    <row r="568" spans="1:10" x14ac:dyDescent="0.25">
      <c r="A568" s="2"/>
      <c r="B568" s="3"/>
      <c r="C568" s="4" t="str">
        <f t="shared" si="11"/>
        <v/>
      </c>
      <c r="D568" s="5"/>
      <c r="E568" s="9" t="str">
        <f t="shared" si="10"/>
        <v/>
      </c>
      <c r="F568" s="3"/>
      <c r="G568" s="6" t="str">
        <f t="shared" si="9"/>
        <v/>
      </c>
      <c r="H568" s="7"/>
      <c r="I568" s="8"/>
      <c r="J568" s="12"/>
    </row>
    <row r="569" spans="1:10" x14ac:dyDescent="0.25">
      <c r="A569" s="2"/>
      <c r="B569" s="3"/>
      <c r="C569" s="4" t="str">
        <f t="shared" si="11"/>
        <v/>
      </c>
      <c r="D569" s="5"/>
      <c r="E569" s="9" t="str">
        <f t="shared" si="10"/>
        <v/>
      </c>
      <c r="F569" s="3"/>
      <c r="G569" s="6" t="str">
        <f t="shared" si="9"/>
        <v/>
      </c>
      <c r="H569" s="7"/>
      <c r="I569" s="8"/>
      <c r="J569" s="12"/>
    </row>
    <row r="570" spans="1:10" x14ac:dyDescent="0.25">
      <c r="A570" s="2"/>
      <c r="B570" s="3"/>
      <c r="C570" s="4" t="str">
        <f t="shared" si="11"/>
        <v/>
      </c>
      <c r="D570" s="5"/>
      <c r="E570" s="9" t="str">
        <f t="shared" si="10"/>
        <v/>
      </c>
      <c r="F570" s="3"/>
      <c r="G570" s="6" t="str">
        <f t="shared" si="9"/>
        <v/>
      </c>
      <c r="H570" s="7"/>
      <c r="I570" s="8"/>
      <c r="J570" s="12"/>
    </row>
    <row r="571" spans="1:10" x14ac:dyDescent="0.25">
      <c r="A571" s="2"/>
      <c r="B571" s="3"/>
      <c r="C571" s="4" t="str">
        <f t="shared" si="11"/>
        <v/>
      </c>
      <c r="D571" s="5"/>
      <c r="E571" s="9" t="str">
        <f t="shared" si="10"/>
        <v/>
      </c>
      <c r="F571" s="3"/>
      <c r="G571" s="6" t="str">
        <f t="shared" si="9"/>
        <v/>
      </c>
      <c r="H571" s="7"/>
      <c r="I571" s="8"/>
      <c r="J571" s="12"/>
    </row>
    <row r="572" spans="1:10" x14ac:dyDescent="0.25">
      <c r="A572" s="2"/>
      <c r="B572" s="3"/>
      <c r="C572" s="4" t="str">
        <f t="shared" si="11"/>
        <v/>
      </c>
      <c r="D572" s="5"/>
      <c r="E572" s="9" t="str">
        <f t="shared" si="10"/>
        <v/>
      </c>
      <c r="F572" s="3"/>
      <c r="G572" s="6" t="str">
        <f t="shared" si="9"/>
        <v/>
      </c>
      <c r="H572" s="7"/>
      <c r="I572" s="8"/>
      <c r="J572" s="12"/>
    </row>
    <row r="573" spans="1:10" x14ac:dyDescent="0.25">
      <c r="A573" s="2"/>
      <c r="B573" s="3"/>
      <c r="C573" s="4" t="str">
        <f t="shared" si="11"/>
        <v/>
      </c>
      <c r="D573" s="5"/>
      <c r="E573" s="9" t="str">
        <f t="shared" si="10"/>
        <v/>
      </c>
      <c r="F573" s="3"/>
      <c r="G573" s="6" t="str">
        <f t="shared" si="9"/>
        <v/>
      </c>
      <c r="H573" s="7"/>
      <c r="I573" s="8"/>
      <c r="J573" s="12"/>
    </row>
    <row r="574" spans="1:10" x14ac:dyDescent="0.25">
      <c r="A574" s="2"/>
      <c r="B574" s="3"/>
      <c r="C574" s="4" t="str">
        <f t="shared" si="11"/>
        <v/>
      </c>
      <c r="D574" s="5"/>
      <c r="E574" s="9" t="str">
        <f t="shared" si="10"/>
        <v/>
      </c>
      <c r="F574" s="3"/>
      <c r="G574" s="6" t="str">
        <f t="shared" si="9"/>
        <v/>
      </c>
      <c r="H574" s="7"/>
      <c r="I574" s="8"/>
      <c r="J574" s="12"/>
    </row>
    <row r="575" spans="1:10" x14ac:dyDescent="0.25">
      <c r="A575" s="2"/>
      <c r="B575" s="3"/>
      <c r="C575" s="4" t="str">
        <f t="shared" si="11"/>
        <v/>
      </c>
      <c r="D575" s="5"/>
      <c r="E575" s="9" t="str">
        <f t="shared" si="10"/>
        <v/>
      </c>
      <c r="F575" s="3"/>
      <c r="G575" s="6" t="str">
        <f t="shared" si="9"/>
        <v/>
      </c>
      <c r="H575" s="7"/>
      <c r="I575" s="8"/>
      <c r="J575" s="12"/>
    </row>
    <row r="576" spans="1:10" x14ac:dyDescent="0.25">
      <c r="A576" s="2"/>
      <c r="B576" s="3"/>
      <c r="C576" s="4" t="str">
        <f t="shared" si="11"/>
        <v/>
      </c>
      <c r="D576" s="5"/>
      <c r="E576" s="9" t="str">
        <f t="shared" si="10"/>
        <v/>
      </c>
      <c r="F576" s="3"/>
      <c r="G576" s="6" t="str">
        <f t="shared" si="9"/>
        <v/>
      </c>
      <c r="H576" s="7"/>
      <c r="I576" s="8"/>
      <c r="J576" s="12"/>
    </row>
    <row r="577" spans="1:10" x14ac:dyDescent="0.25">
      <c r="A577" s="2"/>
      <c r="B577" s="3"/>
      <c r="C577" s="4" t="str">
        <f t="shared" si="11"/>
        <v/>
      </c>
      <c r="D577" s="5"/>
      <c r="E577" s="9" t="str">
        <f t="shared" si="10"/>
        <v/>
      </c>
      <c r="F577" s="3"/>
      <c r="G577" s="6" t="str">
        <f t="shared" si="9"/>
        <v/>
      </c>
      <c r="H577" s="7"/>
      <c r="I577" s="8"/>
      <c r="J577" s="12"/>
    </row>
    <row r="578" spans="1:10" x14ac:dyDescent="0.25">
      <c r="A578" s="2"/>
      <c r="B578" s="3"/>
      <c r="C578" s="4" t="str">
        <f t="shared" si="11"/>
        <v/>
      </c>
      <c r="D578" s="5"/>
      <c r="E578" s="9" t="str">
        <f t="shared" si="10"/>
        <v/>
      </c>
      <c r="F578" s="3"/>
      <c r="G578" s="6" t="str">
        <f t="shared" si="9"/>
        <v/>
      </c>
      <c r="H578" s="7"/>
      <c r="I578" s="8"/>
      <c r="J578" s="12"/>
    </row>
    <row r="579" spans="1:10" x14ac:dyDescent="0.25">
      <c r="A579" s="2"/>
      <c r="B579" s="3"/>
      <c r="C579" s="4" t="str">
        <f t="shared" si="11"/>
        <v/>
      </c>
      <c r="D579" s="5"/>
      <c r="E579" s="9" t="str">
        <f t="shared" si="10"/>
        <v/>
      </c>
      <c r="F579" s="3"/>
      <c r="G579" s="6" t="str">
        <f t="shared" si="9"/>
        <v/>
      </c>
      <c r="H579" s="7"/>
      <c r="I579" s="8"/>
      <c r="J579" s="12"/>
    </row>
    <row r="580" spans="1:10" x14ac:dyDescent="0.25">
      <c r="A580" s="2"/>
      <c r="B580" s="3"/>
      <c r="C580" s="4" t="str">
        <f t="shared" si="11"/>
        <v/>
      </c>
      <c r="D580" s="5"/>
      <c r="E580" s="9" t="str">
        <f t="shared" si="10"/>
        <v/>
      </c>
      <c r="F580" s="3"/>
      <c r="G580" s="6" t="str">
        <f t="shared" ref="G580:G600" si="12">IF(A580="","",HYPERLINK(N580,S580))</f>
        <v/>
      </c>
      <c r="H580" s="7"/>
      <c r="I580" s="8"/>
      <c r="J580" s="12"/>
    </row>
    <row r="581" spans="1:10" x14ac:dyDescent="0.25">
      <c r="A581" s="2"/>
      <c r="B581" s="3"/>
      <c r="C581" s="4" t="str">
        <f t="shared" si="11"/>
        <v/>
      </c>
      <c r="D581" s="5"/>
      <c r="E581" s="9" t="str">
        <f t="shared" ref="E581:E600" si="13">IF(A581="","",IF(T581="",M581,HYPERLINK(X581,M581)))</f>
        <v/>
      </c>
      <c r="F581" s="3"/>
      <c r="G581" s="6" t="str">
        <f t="shared" si="12"/>
        <v/>
      </c>
      <c r="H581" s="7"/>
      <c r="I581" s="8"/>
      <c r="J581" s="12"/>
    </row>
    <row r="582" spans="1:10" x14ac:dyDescent="0.25">
      <c r="A582" s="2"/>
      <c r="B582" s="3"/>
      <c r="C582" s="4" t="str">
        <f t="shared" ref="C582:C600" si="14">IF(A582="","",HYPERLINK(W582,O582))</f>
        <v/>
      </c>
      <c r="D582" s="5"/>
      <c r="E582" s="9" t="str">
        <f t="shared" si="13"/>
        <v/>
      </c>
      <c r="F582" s="3"/>
      <c r="G582" s="6" t="str">
        <f t="shared" si="12"/>
        <v/>
      </c>
      <c r="H582" s="7"/>
      <c r="I582" s="8"/>
      <c r="J582" s="12"/>
    </row>
    <row r="583" spans="1:10" x14ac:dyDescent="0.25">
      <c r="A583" s="2"/>
      <c r="B583" s="3"/>
      <c r="C583" s="4" t="str">
        <f t="shared" si="14"/>
        <v/>
      </c>
      <c r="D583" s="5"/>
      <c r="E583" s="9" t="str">
        <f t="shared" si="13"/>
        <v/>
      </c>
      <c r="F583" s="3"/>
      <c r="G583" s="6" t="str">
        <f t="shared" si="12"/>
        <v/>
      </c>
      <c r="H583" s="7"/>
      <c r="I583" s="8"/>
      <c r="J583" s="12"/>
    </row>
    <row r="584" spans="1:10" x14ac:dyDescent="0.25">
      <c r="A584" s="2"/>
      <c r="B584" s="3"/>
      <c r="C584" s="4" t="str">
        <f t="shared" si="14"/>
        <v/>
      </c>
      <c r="D584" s="5"/>
      <c r="E584" s="9" t="str">
        <f t="shared" si="13"/>
        <v/>
      </c>
      <c r="F584" s="3"/>
      <c r="G584" s="6" t="str">
        <f t="shared" si="12"/>
        <v/>
      </c>
      <c r="H584" s="7"/>
      <c r="I584" s="8"/>
      <c r="J584" s="12"/>
    </row>
    <row r="585" spans="1:10" x14ac:dyDescent="0.25">
      <c r="A585" s="2"/>
      <c r="B585" s="3"/>
      <c r="C585" s="4" t="str">
        <f t="shared" si="14"/>
        <v/>
      </c>
      <c r="D585" s="5"/>
      <c r="E585" s="9" t="str">
        <f t="shared" si="13"/>
        <v/>
      </c>
      <c r="F585" s="3"/>
      <c r="G585" s="6" t="str">
        <f t="shared" si="12"/>
        <v/>
      </c>
      <c r="H585" s="7"/>
      <c r="I585" s="8"/>
      <c r="J585" s="12"/>
    </row>
    <row r="586" spans="1:10" x14ac:dyDescent="0.25">
      <c r="A586" s="2"/>
      <c r="B586" s="3"/>
      <c r="C586" s="4" t="str">
        <f t="shared" si="14"/>
        <v/>
      </c>
      <c r="D586" s="5"/>
      <c r="E586" s="9" t="str">
        <f t="shared" si="13"/>
        <v/>
      </c>
      <c r="F586" s="3"/>
      <c r="G586" s="6" t="str">
        <f t="shared" si="12"/>
        <v/>
      </c>
      <c r="H586" s="7"/>
      <c r="I586" s="8"/>
      <c r="J586" s="12"/>
    </row>
    <row r="587" spans="1:10" x14ac:dyDescent="0.25">
      <c r="A587" s="2"/>
      <c r="B587" s="3"/>
      <c r="C587" s="4" t="str">
        <f t="shared" si="14"/>
        <v/>
      </c>
      <c r="D587" s="5"/>
      <c r="E587" s="9" t="str">
        <f t="shared" si="13"/>
        <v/>
      </c>
      <c r="F587" s="3"/>
      <c r="G587" s="6" t="str">
        <f t="shared" si="12"/>
        <v/>
      </c>
      <c r="H587" s="7"/>
      <c r="I587" s="8"/>
      <c r="J587" s="12"/>
    </row>
    <row r="588" spans="1:10" x14ac:dyDescent="0.25">
      <c r="A588" s="2"/>
      <c r="B588" s="3"/>
      <c r="C588" s="4" t="str">
        <f t="shared" si="14"/>
        <v/>
      </c>
      <c r="D588" s="5"/>
      <c r="E588" s="9" t="str">
        <f t="shared" si="13"/>
        <v/>
      </c>
      <c r="F588" s="3"/>
      <c r="G588" s="6" t="str">
        <f t="shared" si="12"/>
        <v/>
      </c>
      <c r="H588" s="7"/>
      <c r="I588" s="8"/>
      <c r="J588" s="12"/>
    </row>
    <row r="589" spans="1:10" x14ac:dyDescent="0.25">
      <c r="A589" s="2"/>
      <c r="B589" s="3"/>
      <c r="C589" s="4" t="str">
        <f t="shared" si="14"/>
        <v/>
      </c>
      <c r="D589" s="5"/>
      <c r="E589" s="9" t="str">
        <f t="shared" si="13"/>
        <v/>
      </c>
      <c r="F589" s="3"/>
      <c r="G589" s="6" t="str">
        <f t="shared" si="12"/>
        <v/>
      </c>
      <c r="H589" s="7"/>
      <c r="I589" s="8"/>
      <c r="J589" s="12"/>
    </row>
    <row r="590" spans="1:10" x14ac:dyDescent="0.25">
      <c r="A590" s="2"/>
      <c r="B590" s="3"/>
      <c r="C590" s="4" t="str">
        <f t="shared" si="14"/>
        <v/>
      </c>
      <c r="D590" s="5"/>
      <c r="E590" s="9" t="str">
        <f t="shared" si="13"/>
        <v/>
      </c>
      <c r="F590" s="3"/>
      <c r="G590" s="6" t="str">
        <f t="shared" si="12"/>
        <v/>
      </c>
      <c r="H590" s="7"/>
      <c r="I590" s="8"/>
      <c r="J590" s="12"/>
    </row>
    <row r="591" spans="1:10" x14ac:dyDescent="0.25">
      <c r="A591" s="2"/>
      <c r="B591" s="3"/>
      <c r="C591" s="4" t="str">
        <f t="shared" si="14"/>
        <v/>
      </c>
      <c r="D591" s="5"/>
      <c r="E591" s="9" t="str">
        <f t="shared" si="13"/>
        <v/>
      </c>
      <c r="F591" s="3"/>
      <c r="G591" s="6" t="str">
        <f t="shared" si="12"/>
        <v/>
      </c>
      <c r="H591" s="7"/>
      <c r="I591" s="8"/>
      <c r="J591" s="12"/>
    </row>
    <row r="592" spans="1:10" x14ac:dyDescent="0.25">
      <c r="A592" s="2"/>
      <c r="B592" s="3"/>
      <c r="C592" s="4" t="str">
        <f t="shared" si="14"/>
        <v/>
      </c>
      <c r="D592" s="5"/>
      <c r="E592" s="9" t="str">
        <f t="shared" si="13"/>
        <v/>
      </c>
      <c r="F592" s="3"/>
      <c r="G592" s="6" t="str">
        <f t="shared" si="12"/>
        <v/>
      </c>
      <c r="H592" s="7"/>
      <c r="I592" s="8"/>
      <c r="J592" s="12"/>
    </row>
    <row r="593" spans="1:10" x14ac:dyDescent="0.25">
      <c r="A593" s="2"/>
      <c r="B593" s="3"/>
      <c r="C593" s="4" t="str">
        <f t="shared" si="14"/>
        <v/>
      </c>
      <c r="D593" s="5"/>
      <c r="E593" s="9" t="str">
        <f t="shared" si="13"/>
        <v/>
      </c>
      <c r="F593" s="3"/>
      <c r="G593" s="6" t="str">
        <f t="shared" si="12"/>
        <v/>
      </c>
      <c r="H593" s="7"/>
      <c r="I593" s="8"/>
      <c r="J593" s="12"/>
    </row>
    <row r="594" spans="1:10" x14ac:dyDescent="0.25">
      <c r="A594" s="2"/>
      <c r="B594" s="3"/>
      <c r="C594" s="4" t="str">
        <f t="shared" si="14"/>
        <v/>
      </c>
      <c r="D594" s="5"/>
      <c r="E594" s="9" t="str">
        <f t="shared" si="13"/>
        <v/>
      </c>
      <c r="F594" s="3"/>
      <c r="G594" s="6" t="str">
        <f t="shared" si="12"/>
        <v/>
      </c>
      <c r="H594" s="7"/>
      <c r="I594" s="8"/>
      <c r="J594" s="12"/>
    </row>
    <row r="595" spans="1:10" x14ac:dyDescent="0.25">
      <c r="A595" s="2"/>
      <c r="B595" s="3"/>
      <c r="C595" s="4" t="str">
        <f t="shared" si="14"/>
        <v/>
      </c>
      <c r="D595" s="5"/>
      <c r="E595" s="9" t="str">
        <f t="shared" si="13"/>
        <v/>
      </c>
      <c r="F595" s="3"/>
      <c r="G595" s="6" t="str">
        <f t="shared" si="12"/>
        <v/>
      </c>
      <c r="H595" s="7"/>
      <c r="I595" s="8"/>
      <c r="J595" s="12"/>
    </row>
    <row r="596" spans="1:10" x14ac:dyDescent="0.25">
      <c r="A596" s="2"/>
      <c r="B596" s="3"/>
      <c r="C596" s="4" t="str">
        <f t="shared" si="14"/>
        <v/>
      </c>
      <c r="D596" s="5"/>
      <c r="E596" s="9" t="str">
        <f t="shared" si="13"/>
        <v/>
      </c>
      <c r="F596" s="3"/>
      <c r="G596" s="6" t="str">
        <f t="shared" si="12"/>
        <v/>
      </c>
      <c r="H596" s="7"/>
      <c r="I596" s="8"/>
      <c r="J596" s="12"/>
    </row>
    <row r="597" spans="1:10" x14ac:dyDescent="0.25">
      <c r="A597" s="2"/>
      <c r="B597" s="3"/>
      <c r="C597" s="4" t="str">
        <f t="shared" si="14"/>
        <v/>
      </c>
      <c r="D597" s="5"/>
      <c r="E597" s="9" t="str">
        <f t="shared" si="13"/>
        <v/>
      </c>
      <c r="F597" s="3"/>
      <c r="G597" s="6" t="str">
        <f t="shared" si="12"/>
        <v/>
      </c>
      <c r="H597" s="7"/>
      <c r="I597" s="8"/>
      <c r="J597" s="12"/>
    </row>
    <row r="598" spans="1:10" x14ac:dyDescent="0.25">
      <c r="A598" s="2"/>
      <c r="B598" s="3"/>
      <c r="C598" s="4" t="str">
        <f t="shared" si="14"/>
        <v/>
      </c>
      <c r="D598" s="5"/>
      <c r="E598" s="9" t="str">
        <f t="shared" si="13"/>
        <v/>
      </c>
      <c r="F598" s="3"/>
      <c r="G598" s="6" t="str">
        <f t="shared" si="12"/>
        <v/>
      </c>
      <c r="H598" s="7"/>
      <c r="I598" s="8"/>
      <c r="J598" s="12"/>
    </row>
    <row r="599" spans="1:10" x14ac:dyDescent="0.25">
      <c r="A599" s="2"/>
      <c r="B599" s="3"/>
      <c r="C599" s="4" t="str">
        <f t="shared" si="14"/>
        <v/>
      </c>
      <c r="D599" s="5"/>
      <c r="E599" s="9" t="str">
        <f t="shared" si="13"/>
        <v/>
      </c>
      <c r="F599" s="3"/>
      <c r="G599" s="6" t="str">
        <f t="shared" si="12"/>
        <v/>
      </c>
      <c r="H599" s="7"/>
      <c r="I599" s="8"/>
      <c r="J599" s="12"/>
    </row>
    <row r="600" spans="1:10" x14ac:dyDescent="0.25">
      <c r="A600" s="2"/>
      <c r="B600" s="3"/>
      <c r="C600" s="4" t="str">
        <f t="shared" si="14"/>
        <v/>
      </c>
      <c r="D600" s="5"/>
      <c r="E600" s="9" t="str">
        <f t="shared" si="13"/>
        <v/>
      </c>
      <c r="F600" s="3"/>
      <c r="G600" s="6" t="str">
        <f t="shared" si="12"/>
        <v/>
      </c>
      <c r="H600" s="7"/>
      <c r="I600" s="8"/>
      <c r="J600" s="12"/>
    </row>
  </sheetData>
  <phoneticPr fontId="8" type="noConversion"/>
  <pageMargins left="0.511811024" right="0.511811024" top="0.78740157499999996" bottom="0.78740157499999996" header="0.31496062000000002" footer="0.3149606200000000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91DC3B9F95F333498A82E33422F09FAB" ma:contentTypeVersion="16" ma:contentTypeDescription="Crie um novo documento." ma:contentTypeScope="" ma:versionID="322cc4f582fde8fba1556565ed327d81">
  <xsd:schema xmlns:xsd="http://www.w3.org/2001/XMLSchema" xmlns:xs="http://www.w3.org/2001/XMLSchema" xmlns:p="http://schemas.microsoft.com/office/2006/metadata/properties" xmlns:ns2="a89c4f2a-e338-42ae-b7ce-5327aeb09d0a" xmlns:ns3="5482c39d-3bee-4a38-bea7-fee2f8e3babd" xmlns:ns4="329a8921-312b-4026-9f32-9ba8d63bfe92" targetNamespace="http://schemas.microsoft.com/office/2006/metadata/properties" ma:root="true" ma:fieldsID="80e50a759d8e86f454dba105f898d59a" ns2:_="" ns3:_="" ns4:_="">
    <xsd:import namespace="a89c4f2a-e338-42ae-b7ce-5327aeb09d0a"/>
    <xsd:import namespace="5482c39d-3bee-4a38-bea7-fee2f8e3babd"/>
    <xsd:import namespace="329a8921-312b-4026-9f32-9ba8d63bfe9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4:TaxCatchAll" minOccurs="0"/>
                <xsd:element ref="ns2:MediaServiceSearchProperties" minOccurs="0"/>
                <xsd:element ref="ns2:MediaServiceObjectDetectorVersions" minOccurs="0"/>
                <xsd:element ref="ns2:_Flow_Signoff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89c4f2a-e338-42ae-b7ce-5327aeb09d0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9" nillable="true" ma:taxonomy="true" ma:internalName="lcf76f155ced4ddcb4097134ff3c332f" ma:taxonomyFieldName="MediaServiceImageTags" ma:displayName="Marcações de imagem" ma:readOnly="false" ma:fieldId="{5cf76f15-5ced-4ddc-b409-7134ff3c332f}" ma:taxonomyMulti="true" ma:sspId="3f255419-c566-42b2-8349-0f1d378884e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2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_Flow_SignoffStatus" ma:index="23" nillable="true" ma:displayName="Status de liberação" ma:internalName="Status_x0020_de_x0020_libera_x00e7__x00e3_o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82c39d-3bee-4a38-bea7-fee2f8e3babd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29a8921-312b-4026-9f32-9ba8d63bfe92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9001f36c-1d4b-4f1e-8cba-bdaf377d5dd2}" ma:internalName="TaxCatchAll" ma:showField="CatchAllData" ma:web="329a8921-312b-4026-9f32-9ba8d63bfe9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329a8921-312b-4026-9f32-9ba8d63bfe92" xsi:nil="true"/>
    <_Flow_SignoffStatus xmlns="a89c4f2a-e338-42ae-b7ce-5327aeb09d0a" xsi:nil="true"/>
    <lcf76f155ced4ddcb4097134ff3c332f xmlns="a89c4f2a-e338-42ae-b7ce-5327aeb09d0a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64832D7-8362-4744-8D41-4C02E85E05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89c4f2a-e338-42ae-b7ce-5327aeb09d0a"/>
    <ds:schemaRef ds:uri="5482c39d-3bee-4a38-bea7-fee2f8e3babd"/>
    <ds:schemaRef ds:uri="329a8921-312b-4026-9f32-9ba8d63bfe9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78A47D5-A509-4070-B747-F0E77DDEE93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541CC0F-354A-4044-90E6-A080CF96B97E}">
  <ds:schemaRefs>
    <ds:schemaRef ds:uri="http://schemas.microsoft.com/office/2006/metadata/properties"/>
    <ds:schemaRef ds:uri="http://schemas.microsoft.com/office/infopath/2007/PartnerControls"/>
    <ds:schemaRef ds:uri="329a8921-312b-4026-9f32-9ba8d63bfe92"/>
    <ds:schemaRef ds:uri="a89c4f2a-e338-42ae-b7ce-5327aeb09d0a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João Roberto Vieira de Melo</dc:creator>
  <cp:keywords/>
  <dc:description/>
  <cp:lastModifiedBy>João Roberto Vieira de Melo</cp:lastModifiedBy>
  <cp:revision/>
  <dcterms:created xsi:type="dcterms:W3CDTF">2024-02-26T13:00:21Z</dcterms:created>
  <dcterms:modified xsi:type="dcterms:W3CDTF">2024-04-29T17:49:15Z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0x01010091DC3B9F95F333498A82E33422F09FAB</vt:lpwstr>
  </property>
  <property fmtid="{D5CDD505-2E9C-101B-9397-08002B2CF9AE}" pid="3" name="MediaServiceImageTags">
    <vt:lpwstr/>
  </property>
</Properties>
</file>